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5028"/>
  <workbookPr codeName="ThisWorkbook" defaultThemeVersion="124226"/>
  <mc:AlternateContent xmlns:mc="http://schemas.openxmlformats.org/markup-compatibility/2006">
    <mc:Choice Requires="x15">
      <x15ac:absPath xmlns:x15ac="http://schemas.microsoft.com/office/spreadsheetml/2010/11/ac" url="C:\Users\ChrisB\Dropbox (Energy Innovation)\Desktop\Current CA EPS update\Transportation\Ready revised\"/>
    </mc:Choice>
  </mc:AlternateContent>
  <xr:revisionPtr revIDLastSave="0" documentId="13_ncr:1_{993A6935-AABF-4D1D-AB0E-3F1DC5911DAA}" xr6:coauthVersionLast="47" xr6:coauthVersionMax="47" xr10:uidLastSave="{00000000-0000-0000-0000-000000000000}"/>
  <bookViews>
    <workbookView xWindow="-110" yWindow="-110" windowWidth="19420" windowHeight="10420" tabRatio="705" firstSheet="28" activeTab="32" xr2:uid="{00000000-000D-0000-FFFF-FFFF00000000}"/>
  </bookViews>
  <sheets>
    <sheet name="About" sheetId="1" r:id="rId1"/>
    <sheet name="LDV psg EVs" sheetId="44" r:id="rId2"/>
    <sheet name="LDV psg gasoline" sheetId="46" r:id="rId3"/>
    <sheet name="LDV sales" sheetId="67" r:id="rId4"/>
    <sheet name="LDV psg battery" sheetId="47" r:id="rId5"/>
    <sheet name="LDV psg EV specs" sheetId="45" r:id="rId6"/>
    <sheet name="Car" sheetId="60" r:id="rId7"/>
    <sheet name="Pickup" sheetId="61" r:id="rId8"/>
    <sheet name="Crossover" sheetId="62" r:id="rId9"/>
    <sheet name="SUV" sheetId="63" r:id="rId10"/>
    <sheet name="HDV frt" sheetId="73" r:id="rId11"/>
    <sheet name="LDV frt" sheetId="74" r:id="rId12"/>
    <sheet name="HDV psg" sheetId="75" r:id="rId13"/>
    <sheet name="Hydrogen" sheetId="72" r:id="rId14"/>
    <sheet name="CARB" sheetId="34" r:id="rId15"/>
    <sheet name="AEO 39" sheetId="26" r:id="rId16"/>
    <sheet name="AEO 42" sheetId="27" r:id="rId17"/>
    <sheet name="AEO 53" sheetId="19" r:id="rId18"/>
    <sheet name="Passenger Aircraft" sheetId="22" r:id="rId19"/>
    <sheet name="Ships" sheetId="25" r:id="rId20"/>
    <sheet name="Motorbikes" sheetId="23" r:id="rId21"/>
    <sheet name="BNVP-LDVs-psgr" sheetId="2" r:id="rId22"/>
    <sheet name="BNVP-LDVs-frgt" sheetId="8" r:id="rId23"/>
    <sheet name="BNVP-HDVs-frgt" sheetId="10" r:id="rId24"/>
    <sheet name="BNVP-HDVs-psgr" sheetId="9" r:id="rId25"/>
    <sheet name="BNVP-aircraft-psgr" sheetId="11" r:id="rId26"/>
    <sheet name="BNVP-aircraft-frgt" sheetId="12" r:id="rId27"/>
    <sheet name="BNVP-rail-psgr" sheetId="13" r:id="rId28"/>
    <sheet name="BNVP-rail-frgt" sheetId="14" r:id="rId29"/>
    <sheet name="BNVP-ships-psgr" sheetId="15" r:id="rId30"/>
    <sheet name="BNVP-ships-frgt" sheetId="16" r:id="rId31"/>
    <sheet name="BNVP-motorbikes-psgr" sheetId="17" r:id="rId32"/>
    <sheet name="BNVP-motorbikes-frgt" sheetId="18" r:id="rId33"/>
  </sheets>
  <externalReferences>
    <externalReference r:id="rId34"/>
    <externalReference r:id="rId35"/>
  </externalReferences>
  <definedNames>
    <definedName name="asdf">[1]About!$A$113</definedName>
    <definedName name="cpi_2010to2012">About!#REF!</definedName>
    <definedName name="cpi_2013to2012">About!$A$163</definedName>
    <definedName name="cpi_2014to2012">About!$A$164</definedName>
    <definedName name="cpi_2016to2012">About!$A$165</definedName>
    <definedName name="cpi_2017to2012">About!$A$166</definedName>
    <definedName name="cpi_2018to2012">About!$A$167</definedName>
    <definedName name="H2_kg_to_MMBtu">[2]Constants!$D$7</definedName>
    <definedName name="kWh_to_Btu">[2]Constants!$D$4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3" i="9" l="1"/>
  <c r="B4" i="9"/>
  <c r="B5" i="9"/>
  <c r="B6" i="9"/>
  <c r="B7" i="9"/>
  <c r="B8" i="9"/>
  <c r="B2" i="9"/>
  <c r="C2" i="9"/>
  <c r="D2" i="9"/>
  <c r="E2" i="9"/>
  <c r="F2" i="9"/>
  <c r="G2" i="9"/>
  <c r="H2" i="9"/>
  <c r="I2" i="9"/>
  <c r="J2" i="9"/>
  <c r="K2" i="9"/>
  <c r="L2" i="9"/>
  <c r="M2" i="9"/>
  <c r="N2" i="9"/>
  <c r="O2" i="9"/>
  <c r="P2" i="9"/>
  <c r="Q2" i="9"/>
  <c r="R2" i="9"/>
  <c r="S2" i="9"/>
  <c r="T2" i="9"/>
  <c r="U2" i="9"/>
  <c r="V2" i="9"/>
  <c r="W2" i="9"/>
  <c r="X2" i="9"/>
  <c r="Y2" i="9"/>
  <c r="Z2" i="9"/>
  <c r="AA2" i="9"/>
  <c r="AB2" i="9"/>
  <c r="AC2" i="9"/>
  <c r="AD2" i="9"/>
  <c r="AE2" i="9"/>
  <c r="AF2" i="9"/>
  <c r="AG2" i="9"/>
  <c r="C3" i="9"/>
  <c r="D3" i="9"/>
  <c r="E3" i="9"/>
  <c r="F3" i="9"/>
  <c r="G3" i="9"/>
  <c r="H3" i="9"/>
  <c r="I3" i="9"/>
  <c r="J3" i="9"/>
  <c r="K3" i="9"/>
  <c r="L3" i="9"/>
  <c r="M3" i="9"/>
  <c r="N3" i="9"/>
  <c r="O3" i="9"/>
  <c r="P3" i="9"/>
  <c r="Q3" i="9"/>
  <c r="R3" i="9"/>
  <c r="S3" i="9"/>
  <c r="T3" i="9"/>
  <c r="U3" i="9"/>
  <c r="V3" i="9"/>
  <c r="W3" i="9"/>
  <c r="X3" i="9"/>
  <c r="Y3" i="9"/>
  <c r="Z3" i="9"/>
  <c r="AA3" i="9"/>
  <c r="AB3" i="9"/>
  <c r="AC3" i="9"/>
  <c r="AD3" i="9"/>
  <c r="AE3" i="9"/>
  <c r="AF3" i="9"/>
  <c r="AG3" i="9"/>
  <c r="C4" i="9"/>
  <c r="D4" i="9"/>
  <c r="E4" i="9"/>
  <c r="F4" i="9"/>
  <c r="G4" i="9"/>
  <c r="H4" i="9"/>
  <c r="I4" i="9"/>
  <c r="J4" i="9"/>
  <c r="K4" i="9"/>
  <c r="L4" i="9"/>
  <c r="M4" i="9"/>
  <c r="N4" i="9"/>
  <c r="O4" i="9"/>
  <c r="P4" i="9"/>
  <c r="Q4" i="9"/>
  <c r="R4" i="9"/>
  <c r="S4" i="9"/>
  <c r="T4" i="9"/>
  <c r="U4" i="9"/>
  <c r="V4" i="9"/>
  <c r="W4" i="9"/>
  <c r="X4" i="9"/>
  <c r="Y4" i="9"/>
  <c r="Z4" i="9"/>
  <c r="AA4" i="9"/>
  <c r="AB4" i="9"/>
  <c r="AC4" i="9"/>
  <c r="AD4" i="9"/>
  <c r="AE4" i="9"/>
  <c r="AF4" i="9"/>
  <c r="AG4" i="9"/>
  <c r="C5" i="9"/>
  <c r="D5" i="9"/>
  <c r="E5" i="9"/>
  <c r="F5" i="9"/>
  <c r="G5" i="9"/>
  <c r="H5" i="9"/>
  <c r="I5" i="9"/>
  <c r="J5" i="9"/>
  <c r="K5" i="9"/>
  <c r="L5" i="9"/>
  <c r="M5" i="9"/>
  <c r="N5" i="9"/>
  <c r="O5" i="9"/>
  <c r="P5" i="9"/>
  <c r="Q5" i="9"/>
  <c r="R5" i="9"/>
  <c r="S5" i="9"/>
  <c r="T5" i="9"/>
  <c r="U5" i="9"/>
  <c r="V5" i="9"/>
  <c r="W5" i="9"/>
  <c r="X5" i="9"/>
  <c r="Y5" i="9"/>
  <c r="Z5" i="9"/>
  <c r="AA5" i="9"/>
  <c r="AB5" i="9"/>
  <c r="AC5" i="9"/>
  <c r="AD5" i="9"/>
  <c r="AE5" i="9"/>
  <c r="AF5" i="9"/>
  <c r="AG5" i="9"/>
  <c r="C6" i="9"/>
  <c r="D6" i="9"/>
  <c r="E6" i="9"/>
  <c r="F6" i="9"/>
  <c r="G6" i="9"/>
  <c r="H6" i="9"/>
  <c r="I6" i="9"/>
  <c r="J6" i="9"/>
  <c r="K6" i="9"/>
  <c r="L6" i="9"/>
  <c r="M6" i="9"/>
  <c r="N6" i="9"/>
  <c r="O6" i="9"/>
  <c r="P6" i="9"/>
  <c r="Q6" i="9"/>
  <c r="R6" i="9"/>
  <c r="S6" i="9"/>
  <c r="T6" i="9"/>
  <c r="U6" i="9"/>
  <c r="V6" i="9"/>
  <c r="W6" i="9"/>
  <c r="X6" i="9"/>
  <c r="Y6" i="9"/>
  <c r="Z6" i="9"/>
  <c r="AA6" i="9"/>
  <c r="AB6" i="9"/>
  <c r="AC6" i="9"/>
  <c r="AD6" i="9"/>
  <c r="AE6" i="9"/>
  <c r="AF6" i="9"/>
  <c r="AG6" i="9"/>
  <c r="C7" i="9"/>
  <c r="D7" i="9"/>
  <c r="E7" i="9"/>
  <c r="F7" i="9"/>
  <c r="G7" i="9"/>
  <c r="H7" i="9"/>
  <c r="I7" i="9"/>
  <c r="J7" i="9"/>
  <c r="K7" i="9"/>
  <c r="L7" i="9"/>
  <c r="M7" i="9"/>
  <c r="N7" i="9"/>
  <c r="O7" i="9"/>
  <c r="P7" i="9"/>
  <c r="Q7" i="9"/>
  <c r="R7" i="9"/>
  <c r="S7" i="9"/>
  <c r="T7" i="9"/>
  <c r="U7" i="9"/>
  <c r="V7" i="9"/>
  <c r="W7" i="9"/>
  <c r="X7" i="9"/>
  <c r="Y7" i="9"/>
  <c r="Z7" i="9"/>
  <c r="AA7" i="9"/>
  <c r="AB7" i="9"/>
  <c r="AC7" i="9"/>
  <c r="AD7" i="9"/>
  <c r="AE7" i="9"/>
  <c r="AF7" i="9"/>
  <c r="AG7" i="9"/>
  <c r="C8" i="9"/>
  <c r="D8" i="9"/>
  <c r="E8" i="9"/>
  <c r="F8" i="9"/>
  <c r="G8" i="9"/>
  <c r="H8" i="9"/>
  <c r="I8" i="9"/>
  <c r="J8" i="9"/>
  <c r="K8" i="9"/>
  <c r="L8" i="9"/>
  <c r="M8" i="9"/>
  <c r="N8" i="9"/>
  <c r="O8" i="9"/>
  <c r="P8" i="9"/>
  <c r="Q8" i="9"/>
  <c r="R8" i="9"/>
  <c r="S8" i="9"/>
  <c r="T8" i="9"/>
  <c r="U8" i="9"/>
  <c r="V8" i="9"/>
  <c r="W8" i="9"/>
  <c r="X8" i="9"/>
  <c r="Y8" i="9"/>
  <c r="Z8" i="9"/>
  <c r="AA8" i="9"/>
  <c r="AB8" i="9"/>
  <c r="AC8" i="9"/>
  <c r="AD8" i="9"/>
  <c r="AE8" i="9"/>
  <c r="AF8" i="9"/>
  <c r="AG8" i="9"/>
  <c r="B3" i="8"/>
  <c r="B4" i="8"/>
  <c r="B5" i="8"/>
  <c r="B6" i="8"/>
  <c r="B7" i="8"/>
  <c r="B8" i="8"/>
  <c r="B2" i="8"/>
  <c r="C2" i="8"/>
  <c r="D2" i="8"/>
  <c r="E2" i="8"/>
  <c r="F2" i="8"/>
  <c r="G2" i="8"/>
  <c r="H2" i="8"/>
  <c r="I2" i="8"/>
  <c r="J2" i="8"/>
  <c r="K2" i="8"/>
  <c r="L2" i="8"/>
  <c r="M2" i="8"/>
  <c r="N2" i="8"/>
  <c r="O2" i="8"/>
  <c r="P2" i="8"/>
  <c r="Q2" i="8"/>
  <c r="R2" i="8"/>
  <c r="S2" i="8"/>
  <c r="T2" i="8"/>
  <c r="U2" i="8"/>
  <c r="V2" i="8"/>
  <c r="W2" i="8"/>
  <c r="X2" i="8"/>
  <c r="Y2" i="8"/>
  <c r="Z2" i="8"/>
  <c r="AA2" i="8"/>
  <c r="AB2" i="8"/>
  <c r="AC2" i="8"/>
  <c r="AD2" i="8"/>
  <c r="AE2" i="8"/>
  <c r="AF2" i="8"/>
  <c r="AG2" i="8"/>
  <c r="C3" i="8"/>
  <c r="D3" i="8"/>
  <c r="E3" i="8"/>
  <c r="F3" i="8"/>
  <c r="G3" i="8"/>
  <c r="H3" i="8"/>
  <c r="I3" i="8"/>
  <c r="J3" i="8"/>
  <c r="K3" i="8"/>
  <c r="L3" i="8"/>
  <c r="M3" i="8"/>
  <c r="N3" i="8"/>
  <c r="O3" i="8"/>
  <c r="P3" i="8"/>
  <c r="Q3" i="8"/>
  <c r="R3" i="8"/>
  <c r="S3" i="8"/>
  <c r="T3" i="8"/>
  <c r="U3" i="8"/>
  <c r="V3" i="8"/>
  <c r="W3" i="8"/>
  <c r="X3" i="8"/>
  <c r="Y3" i="8"/>
  <c r="Z3" i="8"/>
  <c r="AA3" i="8"/>
  <c r="AB3" i="8"/>
  <c r="AC3" i="8"/>
  <c r="AD3" i="8"/>
  <c r="AE3" i="8"/>
  <c r="AF3" i="8"/>
  <c r="AG3" i="8"/>
  <c r="C4" i="8"/>
  <c r="D4" i="8"/>
  <c r="E4" i="8"/>
  <c r="F4" i="8"/>
  <c r="G4" i="8"/>
  <c r="H4" i="8"/>
  <c r="I4" i="8"/>
  <c r="J4" i="8"/>
  <c r="K4" i="8"/>
  <c r="L4" i="8"/>
  <c r="M4" i="8"/>
  <c r="N4" i="8"/>
  <c r="O4" i="8"/>
  <c r="P4" i="8"/>
  <c r="Q4" i="8"/>
  <c r="R4" i="8"/>
  <c r="S4" i="8"/>
  <c r="T4" i="8"/>
  <c r="U4" i="8"/>
  <c r="V4" i="8"/>
  <c r="W4" i="8"/>
  <c r="X4" i="8"/>
  <c r="Y4" i="8"/>
  <c r="Z4" i="8"/>
  <c r="AA4" i="8"/>
  <c r="AB4" i="8"/>
  <c r="AC4" i="8"/>
  <c r="AD4" i="8"/>
  <c r="AE4" i="8"/>
  <c r="AF4" i="8"/>
  <c r="AG4" i="8"/>
  <c r="C5" i="8"/>
  <c r="D5" i="8"/>
  <c r="E5" i="8"/>
  <c r="F5" i="8"/>
  <c r="G5" i="8"/>
  <c r="H5" i="8"/>
  <c r="I5" i="8"/>
  <c r="J5" i="8"/>
  <c r="K5" i="8"/>
  <c r="L5" i="8"/>
  <c r="M5" i="8"/>
  <c r="N5" i="8"/>
  <c r="O5" i="8"/>
  <c r="P5" i="8"/>
  <c r="Q5" i="8"/>
  <c r="R5" i="8"/>
  <c r="S5" i="8"/>
  <c r="T5" i="8"/>
  <c r="U5" i="8"/>
  <c r="V5" i="8"/>
  <c r="W5" i="8"/>
  <c r="X5" i="8"/>
  <c r="Y5" i="8"/>
  <c r="Z5" i="8"/>
  <c r="AA5" i="8"/>
  <c r="AB5" i="8"/>
  <c r="AC5" i="8"/>
  <c r="AD5" i="8"/>
  <c r="AE5" i="8"/>
  <c r="AF5" i="8"/>
  <c r="AG5" i="8"/>
  <c r="C6" i="8"/>
  <c r="D6" i="8"/>
  <c r="E6" i="8"/>
  <c r="F6" i="8"/>
  <c r="G6" i="8"/>
  <c r="H6" i="8"/>
  <c r="I6" i="8"/>
  <c r="J6" i="8"/>
  <c r="K6" i="8"/>
  <c r="L6" i="8"/>
  <c r="M6" i="8"/>
  <c r="N6" i="8"/>
  <c r="O6" i="8"/>
  <c r="P6" i="8"/>
  <c r="Q6" i="8"/>
  <c r="R6" i="8"/>
  <c r="S6" i="8"/>
  <c r="T6" i="8"/>
  <c r="U6" i="8"/>
  <c r="V6" i="8"/>
  <c r="W6" i="8"/>
  <c r="X6" i="8"/>
  <c r="Y6" i="8"/>
  <c r="Z6" i="8"/>
  <c r="AA6" i="8"/>
  <c r="AB6" i="8"/>
  <c r="AC6" i="8"/>
  <c r="AD6" i="8"/>
  <c r="AE6" i="8"/>
  <c r="AF6" i="8"/>
  <c r="AG6" i="8"/>
  <c r="C7" i="8"/>
  <c r="D7" i="8"/>
  <c r="E7" i="8"/>
  <c r="F7" i="8"/>
  <c r="G7" i="8"/>
  <c r="H7" i="8"/>
  <c r="I7" i="8"/>
  <c r="J7" i="8"/>
  <c r="K7" i="8"/>
  <c r="L7" i="8"/>
  <c r="M7" i="8"/>
  <c r="N7" i="8"/>
  <c r="O7" i="8"/>
  <c r="P7" i="8"/>
  <c r="Q7" i="8"/>
  <c r="R7" i="8"/>
  <c r="S7" i="8"/>
  <c r="T7" i="8"/>
  <c r="U7" i="8"/>
  <c r="V7" i="8"/>
  <c r="W7" i="8"/>
  <c r="X7" i="8"/>
  <c r="Y7" i="8"/>
  <c r="Z7" i="8"/>
  <c r="AA7" i="8"/>
  <c r="AB7" i="8"/>
  <c r="AC7" i="8"/>
  <c r="AD7" i="8"/>
  <c r="AE7" i="8"/>
  <c r="AF7" i="8"/>
  <c r="AG7" i="8"/>
  <c r="C8" i="8"/>
  <c r="D8" i="8"/>
  <c r="E8" i="8"/>
  <c r="F8" i="8"/>
  <c r="G8" i="8"/>
  <c r="H8" i="8"/>
  <c r="I8" i="8"/>
  <c r="J8" i="8"/>
  <c r="K8" i="8"/>
  <c r="L8" i="8"/>
  <c r="M8" i="8"/>
  <c r="N8" i="8"/>
  <c r="O8" i="8"/>
  <c r="P8" i="8"/>
  <c r="Q8" i="8"/>
  <c r="R8" i="8"/>
  <c r="S8" i="8"/>
  <c r="T8" i="8"/>
  <c r="U8" i="8"/>
  <c r="V8" i="8"/>
  <c r="W8" i="8"/>
  <c r="X8" i="8"/>
  <c r="Y8" i="8"/>
  <c r="Z8" i="8"/>
  <c r="AA8" i="8"/>
  <c r="AB8" i="8"/>
  <c r="AC8" i="8"/>
  <c r="AD8" i="8"/>
  <c r="AE8" i="8"/>
  <c r="AF8" i="8"/>
  <c r="AG8" i="8"/>
  <c r="B3" i="18"/>
  <c r="B4" i="18"/>
  <c r="B5" i="18"/>
  <c r="B6" i="18"/>
  <c r="B7" i="18"/>
  <c r="B8" i="18"/>
  <c r="B2" i="18"/>
  <c r="C2" i="18"/>
  <c r="D2" i="18"/>
  <c r="E2" i="18"/>
  <c r="F2" i="18"/>
  <c r="G2" i="18"/>
  <c r="H2" i="18"/>
  <c r="I2" i="18"/>
  <c r="J2" i="18"/>
  <c r="K2" i="18"/>
  <c r="L2" i="18"/>
  <c r="M2" i="18"/>
  <c r="N2" i="18"/>
  <c r="O2" i="18"/>
  <c r="P2" i="18"/>
  <c r="Q2" i="18"/>
  <c r="R2" i="18"/>
  <c r="S2" i="18"/>
  <c r="T2" i="18"/>
  <c r="U2" i="18"/>
  <c r="V2" i="18"/>
  <c r="W2" i="18"/>
  <c r="X2" i="18"/>
  <c r="Y2" i="18"/>
  <c r="Z2" i="18"/>
  <c r="AA2" i="18"/>
  <c r="AB2" i="18"/>
  <c r="AC2" i="18"/>
  <c r="AD2" i="18"/>
  <c r="AE2" i="18"/>
  <c r="AF2" i="18"/>
  <c r="AG2" i="18"/>
  <c r="C3" i="18"/>
  <c r="D3" i="18"/>
  <c r="E3" i="18"/>
  <c r="F3" i="18"/>
  <c r="G3" i="18"/>
  <c r="H3" i="18"/>
  <c r="I3" i="18"/>
  <c r="J3" i="18"/>
  <c r="K3" i="18"/>
  <c r="L3" i="18"/>
  <c r="M3" i="18"/>
  <c r="N3" i="18"/>
  <c r="O3" i="18"/>
  <c r="P3" i="18"/>
  <c r="Q3" i="18"/>
  <c r="R3" i="18"/>
  <c r="S3" i="18"/>
  <c r="T3" i="18"/>
  <c r="U3" i="18"/>
  <c r="V3" i="18"/>
  <c r="W3" i="18"/>
  <c r="X3" i="18"/>
  <c r="Y3" i="18"/>
  <c r="Z3" i="18"/>
  <c r="AA3" i="18"/>
  <c r="AB3" i="18"/>
  <c r="AC3" i="18"/>
  <c r="AD3" i="18"/>
  <c r="AE3" i="18"/>
  <c r="AF3" i="18"/>
  <c r="AG3" i="18"/>
  <c r="C4" i="18"/>
  <c r="D4" i="18"/>
  <c r="E4" i="18"/>
  <c r="F4" i="18"/>
  <c r="G4" i="18"/>
  <c r="H4" i="18"/>
  <c r="I4" i="18"/>
  <c r="J4" i="18"/>
  <c r="K4" i="18"/>
  <c r="L4" i="18"/>
  <c r="M4" i="18"/>
  <c r="N4" i="18"/>
  <c r="O4" i="18"/>
  <c r="P4" i="18"/>
  <c r="Q4" i="18"/>
  <c r="R4" i="18"/>
  <c r="S4" i="18"/>
  <c r="T4" i="18"/>
  <c r="U4" i="18"/>
  <c r="V4" i="18"/>
  <c r="W4" i="18"/>
  <c r="X4" i="18"/>
  <c r="Y4" i="18"/>
  <c r="Z4" i="18"/>
  <c r="AA4" i="18"/>
  <c r="AB4" i="18"/>
  <c r="AC4" i="18"/>
  <c r="AD4" i="18"/>
  <c r="AE4" i="18"/>
  <c r="AF4" i="18"/>
  <c r="AG4" i="18"/>
  <c r="C5" i="18"/>
  <c r="D5" i="18"/>
  <c r="E5" i="18"/>
  <c r="F5" i="18"/>
  <c r="G5" i="18"/>
  <c r="H5" i="18"/>
  <c r="I5" i="18"/>
  <c r="J5" i="18"/>
  <c r="K5" i="18"/>
  <c r="L5" i="18"/>
  <c r="M5" i="18"/>
  <c r="N5" i="18"/>
  <c r="O5" i="18"/>
  <c r="P5" i="18"/>
  <c r="Q5" i="18"/>
  <c r="R5" i="18"/>
  <c r="S5" i="18"/>
  <c r="T5" i="18"/>
  <c r="U5" i="18"/>
  <c r="V5" i="18"/>
  <c r="W5" i="18"/>
  <c r="X5" i="18"/>
  <c r="Y5" i="18"/>
  <c r="Z5" i="18"/>
  <c r="AA5" i="18"/>
  <c r="AB5" i="18"/>
  <c r="AC5" i="18"/>
  <c r="AD5" i="18"/>
  <c r="AE5" i="18"/>
  <c r="AF5" i="18"/>
  <c r="AG5" i="18"/>
  <c r="C6" i="18"/>
  <c r="D6" i="18"/>
  <c r="E6" i="18"/>
  <c r="F6" i="18"/>
  <c r="G6" i="18"/>
  <c r="H6" i="18"/>
  <c r="I6" i="18"/>
  <c r="J6" i="18"/>
  <c r="K6" i="18"/>
  <c r="L6" i="18"/>
  <c r="M6" i="18"/>
  <c r="N6" i="18"/>
  <c r="O6" i="18"/>
  <c r="P6" i="18"/>
  <c r="Q6" i="18"/>
  <c r="R6" i="18"/>
  <c r="S6" i="18"/>
  <c r="T6" i="18"/>
  <c r="U6" i="18"/>
  <c r="V6" i="18"/>
  <c r="W6" i="18"/>
  <c r="X6" i="18"/>
  <c r="Y6" i="18"/>
  <c r="Z6" i="18"/>
  <c r="AA6" i="18"/>
  <c r="AB6" i="18"/>
  <c r="AC6" i="18"/>
  <c r="AD6" i="18"/>
  <c r="AE6" i="18"/>
  <c r="AF6" i="18"/>
  <c r="AG6" i="18"/>
  <c r="C7" i="18"/>
  <c r="D7" i="18"/>
  <c r="E7" i="18"/>
  <c r="F7" i="18"/>
  <c r="G7" i="18"/>
  <c r="H7" i="18"/>
  <c r="I7" i="18"/>
  <c r="J7" i="18"/>
  <c r="K7" i="18"/>
  <c r="L7" i="18"/>
  <c r="M7" i="18"/>
  <c r="N7" i="18"/>
  <c r="O7" i="18"/>
  <c r="P7" i="18"/>
  <c r="Q7" i="18"/>
  <c r="R7" i="18"/>
  <c r="S7" i="18"/>
  <c r="T7" i="18"/>
  <c r="U7" i="18"/>
  <c r="V7" i="18"/>
  <c r="W7" i="18"/>
  <c r="X7" i="18"/>
  <c r="Y7" i="18"/>
  <c r="Z7" i="18"/>
  <c r="AA7" i="18"/>
  <c r="AB7" i="18"/>
  <c r="AC7" i="18"/>
  <c r="AD7" i="18"/>
  <c r="AE7" i="18"/>
  <c r="AF7" i="18"/>
  <c r="AG7" i="18"/>
  <c r="C8" i="18"/>
  <c r="D8" i="18"/>
  <c r="E8" i="18"/>
  <c r="F8" i="18"/>
  <c r="G8" i="18"/>
  <c r="H8" i="18"/>
  <c r="I8" i="18"/>
  <c r="J8" i="18"/>
  <c r="K8" i="18"/>
  <c r="L8" i="18"/>
  <c r="M8" i="18"/>
  <c r="N8" i="18"/>
  <c r="O8" i="18"/>
  <c r="P8" i="18"/>
  <c r="Q8" i="18"/>
  <c r="R8" i="18"/>
  <c r="S8" i="18"/>
  <c r="T8" i="18"/>
  <c r="U8" i="18"/>
  <c r="V8" i="18"/>
  <c r="W8" i="18"/>
  <c r="X8" i="18"/>
  <c r="Y8" i="18"/>
  <c r="Z8" i="18"/>
  <c r="AA8" i="18"/>
  <c r="AB8" i="18"/>
  <c r="AC8" i="18"/>
  <c r="AD8" i="18"/>
  <c r="AE8" i="18"/>
  <c r="AF8" i="18"/>
  <c r="AG8" i="18"/>
  <c r="B3" i="10"/>
  <c r="B4" i="10"/>
  <c r="B5" i="10"/>
  <c r="B6" i="10"/>
  <c r="B7" i="10"/>
  <c r="B8" i="10"/>
  <c r="B2" i="10"/>
  <c r="C2" i="10"/>
  <c r="D2" i="10"/>
  <c r="E2" i="10"/>
  <c r="F2" i="10"/>
  <c r="G2" i="10"/>
  <c r="H2" i="10"/>
  <c r="I2" i="10"/>
  <c r="J2" i="10"/>
  <c r="K2" i="10"/>
  <c r="L2" i="10"/>
  <c r="M2" i="10"/>
  <c r="N2" i="10"/>
  <c r="O2" i="10"/>
  <c r="P2" i="10"/>
  <c r="Q2" i="10"/>
  <c r="R2" i="10"/>
  <c r="S2" i="10"/>
  <c r="T2" i="10"/>
  <c r="U2" i="10"/>
  <c r="V2" i="10"/>
  <c r="W2" i="10"/>
  <c r="X2" i="10"/>
  <c r="Y2" i="10"/>
  <c r="Z2" i="10"/>
  <c r="AA2" i="10"/>
  <c r="AB2" i="10"/>
  <c r="AC2" i="10"/>
  <c r="AD2" i="10"/>
  <c r="AE2" i="10"/>
  <c r="AF2" i="10"/>
  <c r="AG2" i="10"/>
  <c r="C3" i="10"/>
  <c r="D3" i="10"/>
  <c r="E3" i="10"/>
  <c r="F3" i="10"/>
  <c r="G3" i="10"/>
  <c r="H3" i="10"/>
  <c r="I3" i="10"/>
  <c r="J3" i="10"/>
  <c r="K3" i="10"/>
  <c r="L3" i="10"/>
  <c r="M3" i="10"/>
  <c r="N3" i="10"/>
  <c r="O3" i="10"/>
  <c r="P3" i="10"/>
  <c r="Q3" i="10"/>
  <c r="R3" i="10"/>
  <c r="S3" i="10"/>
  <c r="T3" i="10"/>
  <c r="U3" i="10"/>
  <c r="V3" i="10"/>
  <c r="W3" i="10"/>
  <c r="X3" i="10"/>
  <c r="Y3" i="10"/>
  <c r="Z3" i="10"/>
  <c r="AA3" i="10"/>
  <c r="AB3" i="10"/>
  <c r="AC3" i="10"/>
  <c r="AD3" i="10"/>
  <c r="AE3" i="10"/>
  <c r="AF3" i="10"/>
  <c r="AG3" i="10"/>
  <c r="C4" i="10"/>
  <c r="D4" i="10"/>
  <c r="E4" i="10"/>
  <c r="F4" i="10"/>
  <c r="G4" i="10"/>
  <c r="H4" i="10"/>
  <c r="I4" i="10"/>
  <c r="J4" i="10"/>
  <c r="K4" i="10"/>
  <c r="L4" i="10"/>
  <c r="M4" i="10"/>
  <c r="N4" i="10"/>
  <c r="O4" i="10"/>
  <c r="P4" i="10"/>
  <c r="Q4" i="10"/>
  <c r="R4" i="10"/>
  <c r="S4" i="10"/>
  <c r="T4" i="10"/>
  <c r="U4" i="10"/>
  <c r="V4" i="10"/>
  <c r="W4" i="10"/>
  <c r="X4" i="10"/>
  <c r="Y4" i="10"/>
  <c r="Z4" i="10"/>
  <c r="AA4" i="10"/>
  <c r="AB4" i="10"/>
  <c r="AC4" i="10"/>
  <c r="AD4" i="10"/>
  <c r="AE4" i="10"/>
  <c r="AF4" i="10"/>
  <c r="AG4" i="10"/>
  <c r="C5" i="10"/>
  <c r="D5" i="10"/>
  <c r="E5" i="10"/>
  <c r="F5" i="10"/>
  <c r="G5" i="10"/>
  <c r="H5" i="10"/>
  <c r="I5" i="10"/>
  <c r="J5" i="10"/>
  <c r="K5" i="10"/>
  <c r="L5" i="10"/>
  <c r="M5" i="10"/>
  <c r="N5" i="10"/>
  <c r="O5" i="10"/>
  <c r="P5" i="10"/>
  <c r="Q5" i="10"/>
  <c r="R5" i="10"/>
  <c r="S5" i="10"/>
  <c r="T5" i="10"/>
  <c r="U5" i="10"/>
  <c r="V5" i="10"/>
  <c r="W5" i="10"/>
  <c r="X5" i="10"/>
  <c r="Y5" i="10"/>
  <c r="Z5" i="10"/>
  <c r="AA5" i="10"/>
  <c r="AB5" i="10"/>
  <c r="AC5" i="10"/>
  <c r="AD5" i="10"/>
  <c r="AE5" i="10"/>
  <c r="AF5" i="10"/>
  <c r="AG5" i="10"/>
  <c r="C6" i="10"/>
  <c r="D6" i="10"/>
  <c r="E6" i="10"/>
  <c r="F6" i="10"/>
  <c r="G6" i="10"/>
  <c r="H6" i="10"/>
  <c r="I6" i="10"/>
  <c r="J6" i="10"/>
  <c r="K6" i="10"/>
  <c r="L6" i="10"/>
  <c r="M6" i="10"/>
  <c r="N6" i="10"/>
  <c r="O6" i="10"/>
  <c r="P6" i="10"/>
  <c r="Q6" i="10"/>
  <c r="R6" i="10"/>
  <c r="S6" i="10"/>
  <c r="T6" i="10"/>
  <c r="U6" i="10"/>
  <c r="V6" i="10"/>
  <c r="W6" i="10"/>
  <c r="X6" i="10"/>
  <c r="Y6" i="10"/>
  <c r="Z6" i="10"/>
  <c r="AA6" i="10"/>
  <c r="AB6" i="10"/>
  <c r="AC6" i="10"/>
  <c r="AD6" i="10"/>
  <c r="AE6" i="10"/>
  <c r="AF6" i="10"/>
  <c r="AG6" i="10"/>
  <c r="C7" i="10"/>
  <c r="D7" i="10"/>
  <c r="E7" i="10"/>
  <c r="F7" i="10"/>
  <c r="G7" i="10"/>
  <c r="H7" i="10"/>
  <c r="I7" i="10"/>
  <c r="J7" i="10"/>
  <c r="K7" i="10"/>
  <c r="L7" i="10"/>
  <c r="M7" i="10"/>
  <c r="N7" i="10"/>
  <c r="O7" i="10"/>
  <c r="P7" i="10"/>
  <c r="Q7" i="10"/>
  <c r="R7" i="10"/>
  <c r="S7" i="10"/>
  <c r="T7" i="10"/>
  <c r="U7" i="10"/>
  <c r="V7" i="10"/>
  <c r="W7" i="10"/>
  <c r="X7" i="10"/>
  <c r="Y7" i="10"/>
  <c r="Z7" i="10"/>
  <c r="AA7" i="10"/>
  <c r="AB7" i="10"/>
  <c r="AC7" i="10"/>
  <c r="AD7" i="10"/>
  <c r="AE7" i="10"/>
  <c r="AF7" i="10"/>
  <c r="AG7" i="10"/>
  <c r="C8" i="10"/>
  <c r="D8" i="10"/>
  <c r="E8" i="10"/>
  <c r="F8" i="10"/>
  <c r="G8" i="10"/>
  <c r="H8" i="10"/>
  <c r="I8" i="10"/>
  <c r="J8" i="10"/>
  <c r="K8" i="10"/>
  <c r="L8" i="10"/>
  <c r="M8" i="10"/>
  <c r="N8" i="10"/>
  <c r="O8" i="10"/>
  <c r="P8" i="10"/>
  <c r="Q8" i="10"/>
  <c r="R8" i="10"/>
  <c r="S8" i="10"/>
  <c r="T8" i="10"/>
  <c r="U8" i="10"/>
  <c r="V8" i="10"/>
  <c r="W8" i="10"/>
  <c r="X8" i="10"/>
  <c r="Y8" i="10"/>
  <c r="Z8" i="10"/>
  <c r="AA8" i="10"/>
  <c r="AB8" i="10"/>
  <c r="AC8" i="10"/>
  <c r="AD8" i="10"/>
  <c r="AE8" i="10"/>
  <c r="AF8" i="10"/>
  <c r="AG8" i="10"/>
  <c r="D29" i="75" l="1"/>
  <c r="E29" i="75"/>
  <c r="F29" i="75"/>
  <c r="G29" i="75"/>
  <c r="H29" i="75"/>
  <c r="I29" i="75"/>
  <c r="J29" i="75"/>
  <c r="K29" i="75"/>
  <c r="L29" i="75"/>
  <c r="M29" i="75"/>
  <c r="N29" i="75"/>
  <c r="O29" i="75"/>
  <c r="P29" i="75"/>
  <c r="Q29" i="75"/>
  <c r="R29" i="75"/>
  <c r="S29" i="75"/>
  <c r="T29" i="75"/>
  <c r="U29" i="75"/>
  <c r="V29" i="75"/>
  <c r="W29" i="75"/>
  <c r="X29" i="75"/>
  <c r="Y29" i="75"/>
  <c r="Z29" i="75"/>
  <c r="AA29" i="75"/>
  <c r="AB29" i="75"/>
  <c r="AC29" i="75"/>
  <c r="AD29" i="75"/>
  <c r="AE29" i="75"/>
  <c r="AF29" i="75"/>
  <c r="C29" i="75"/>
  <c r="D28" i="75"/>
  <c r="E28" i="75" s="1"/>
  <c r="F28" i="75" s="1"/>
  <c r="G28" i="75" s="1"/>
  <c r="H28" i="75" s="1"/>
  <c r="I28" i="75" s="1"/>
  <c r="J28" i="75" s="1"/>
  <c r="K28" i="75" s="1"/>
  <c r="L28" i="75" s="1"/>
  <c r="M28" i="75" s="1"/>
  <c r="N28" i="75" s="1"/>
  <c r="O28" i="75" s="1"/>
  <c r="P28" i="75" s="1"/>
  <c r="Q28" i="75" s="1"/>
  <c r="R28" i="75" s="1"/>
  <c r="S28" i="75" s="1"/>
  <c r="T28" i="75" s="1"/>
  <c r="U28" i="75" s="1"/>
  <c r="V28" i="75" s="1"/>
  <c r="W28" i="75" s="1"/>
  <c r="X28" i="75" s="1"/>
  <c r="Y28" i="75" s="1"/>
  <c r="Z28" i="75" s="1"/>
  <c r="AA28" i="75" s="1"/>
  <c r="AB28" i="75" s="1"/>
  <c r="AC28" i="75" s="1"/>
  <c r="AD28" i="75" s="1"/>
  <c r="AE28" i="75" s="1"/>
  <c r="AF28" i="75" s="1"/>
  <c r="C28" i="75"/>
  <c r="B29" i="75"/>
  <c r="C72" i="73"/>
  <c r="D72" i="73" s="1"/>
  <c r="E72" i="73" s="1"/>
  <c r="F72" i="73" s="1"/>
  <c r="A69" i="74" l="1"/>
  <c r="B101" i="45" l="1"/>
  <c r="D1" i="75"/>
  <c r="E1" i="75" s="1"/>
  <c r="F1" i="75" s="1"/>
  <c r="G1" i="75" s="1"/>
  <c r="H1" i="75" s="1"/>
  <c r="I1" i="75" s="1"/>
  <c r="J1" i="75" s="1"/>
  <c r="K1" i="75" s="1"/>
  <c r="L1" i="75" s="1"/>
  <c r="M1" i="75" s="1"/>
  <c r="N1" i="75" s="1"/>
  <c r="O1" i="75" s="1"/>
  <c r="P1" i="75" s="1"/>
  <c r="Q1" i="75" s="1"/>
  <c r="R1" i="75" s="1"/>
  <c r="S1" i="75" s="1"/>
  <c r="T1" i="75" s="1"/>
  <c r="U1" i="75" s="1"/>
  <c r="V1" i="75" s="1"/>
  <c r="W1" i="75" s="1"/>
  <c r="X1" i="75" s="1"/>
  <c r="Y1" i="75" s="1"/>
  <c r="Z1" i="75" s="1"/>
  <c r="AA1" i="75" s="1"/>
  <c r="AB1" i="75" s="1"/>
  <c r="AC1" i="75" s="1"/>
  <c r="AD1" i="75" s="1"/>
  <c r="AE1" i="75" s="1"/>
  <c r="AF1" i="75" s="1"/>
  <c r="C6" i="75"/>
  <c r="D6" i="75" s="1"/>
  <c r="E6" i="75" s="1"/>
  <c r="F6" i="75" s="1"/>
  <c r="G6" i="75" s="1"/>
  <c r="H6" i="75" s="1"/>
  <c r="I6" i="75" s="1"/>
  <c r="J6" i="75" s="1"/>
  <c r="K6" i="75" s="1"/>
  <c r="L6" i="75" s="1"/>
  <c r="M6" i="75" s="1"/>
  <c r="N6" i="75" s="1"/>
  <c r="O6" i="75" s="1"/>
  <c r="P6" i="75" s="1"/>
  <c r="Q6" i="75" s="1"/>
  <c r="R6" i="75" s="1"/>
  <c r="S6" i="75" s="1"/>
  <c r="T6" i="75" s="1"/>
  <c r="U6" i="75" s="1"/>
  <c r="V6" i="75" s="1"/>
  <c r="W6" i="75" s="1"/>
  <c r="X6" i="75" s="1"/>
  <c r="Y6" i="75" s="1"/>
  <c r="Z6" i="75" s="1"/>
  <c r="AA6" i="75" s="1"/>
  <c r="AB6" i="75" s="1"/>
  <c r="AC6" i="75" s="1"/>
  <c r="AD6" i="75" s="1"/>
  <c r="AE6" i="75" s="1"/>
  <c r="AF6" i="75" s="1"/>
  <c r="C7" i="75"/>
  <c r="D7" i="75" s="1"/>
  <c r="E7" i="75" s="1"/>
  <c r="F7" i="75" s="1"/>
  <c r="G7" i="75" s="1"/>
  <c r="H7" i="75" s="1"/>
  <c r="I7" i="75" s="1"/>
  <c r="J7" i="75" s="1"/>
  <c r="K7" i="75" s="1"/>
  <c r="L7" i="75" s="1"/>
  <c r="M7" i="75" s="1"/>
  <c r="N7" i="75" s="1"/>
  <c r="O7" i="75" s="1"/>
  <c r="P7" i="75" s="1"/>
  <c r="Q7" i="75" s="1"/>
  <c r="R7" i="75" s="1"/>
  <c r="S7" i="75" s="1"/>
  <c r="T7" i="75" s="1"/>
  <c r="U7" i="75" s="1"/>
  <c r="V7" i="75" s="1"/>
  <c r="W7" i="75" s="1"/>
  <c r="X7" i="75" s="1"/>
  <c r="Y7" i="75" s="1"/>
  <c r="Z7" i="75" s="1"/>
  <c r="AA7" i="75" s="1"/>
  <c r="AB7" i="75" s="1"/>
  <c r="AC7" i="75" s="1"/>
  <c r="AD7" i="75" s="1"/>
  <c r="AE7" i="75" s="1"/>
  <c r="AF7" i="75" s="1"/>
  <c r="C1" i="75"/>
  <c r="B21" i="75"/>
  <c r="B18" i="75"/>
  <c r="B19" i="75" s="1"/>
  <c r="C19" i="75" s="1"/>
  <c r="C21" i="75" l="1"/>
  <c r="B23" i="75"/>
  <c r="B24" i="75" s="1"/>
  <c r="C18" i="75"/>
  <c r="B5" i="75" l="1"/>
  <c r="C23" i="75"/>
  <c r="B25" i="75"/>
  <c r="C24" i="75"/>
  <c r="B3" i="75" l="1"/>
  <c r="C3" i="75" s="1"/>
  <c r="D3" i="75" s="1"/>
  <c r="E3" i="75" s="1"/>
  <c r="F3" i="75" s="1"/>
  <c r="G3" i="75" s="1"/>
  <c r="H3" i="75" s="1"/>
  <c r="I3" i="75" s="1"/>
  <c r="J3" i="75" s="1"/>
  <c r="K3" i="75" s="1"/>
  <c r="L3" i="75" s="1"/>
  <c r="M3" i="75" s="1"/>
  <c r="N3" i="75" s="1"/>
  <c r="O3" i="75" s="1"/>
  <c r="P3" i="75" s="1"/>
  <c r="Q3" i="75" s="1"/>
  <c r="R3" i="75" s="1"/>
  <c r="S3" i="75" s="1"/>
  <c r="T3" i="75" s="1"/>
  <c r="U3" i="75" s="1"/>
  <c r="V3" i="75" s="1"/>
  <c r="W3" i="75" s="1"/>
  <c r="X3" i="75" s="1"/>
  <c r="Y3" i="75" s="1"/>
  <c r="Z3" i="75" s="1"/>
  <c r="AA3" i="75" s="1"/>
  <c r="AB3" i="75" s="1"/>
  <c r="AC3" i="75" s="1"/>
  <c r="AD3" i="75" s="1"/>
  <c r="AE3" i="75" s="1"/>
  <c r="AF3" i="75" s="1"/>
  <c r="B4" i="75"/>
  <c r="C4" i="75" s="1"/>
  <c r="D4" i="75" s="1"/>
  <c r="E4" i="75" s="1"/>
  <c r="F4" i="75" s="1"/>
  <c r="G4" i="75" s="1"/>
  <c r="H4" i="75" s="1"/>
  <c r="I4" i="75" s="1"/>
  <c r="J4" i="75" s="1"/>
  <c r="K4" i="75" s="1"/>
  <c r="L4" i="75" s="1"/>
  <c r="M4" i="75" s="1"/>
  <c r="N4" i="75" s="1"/>
  <c r="O4" i="75" s="1"/>
  <c r="P4" i="75" s="1"/>
  <c r="Q4" i="75" s="1"/>
  <c r="R4" i="75" s="1"/>
  <c r="S4" i="75" s="1"/>
  <c r="T4" i="75" s="1"/>
  <c r="U4" i="75" s="1"/>
  <c r="V4" i="75" s="1"/>
  <c r="W4" i="75" s="1"/>
  <c r="X4" i="75" s="1"/>
  <c r="Y4" i="75" s="1"/>
  <c r="Z4" i="75" s="1"/>
  <c r="AA4" i="75" s="1"/>
  <c r="AB4" i="75" s="1"/>
  <c r="AC4" i="75" s="1"/>
  <c r="AD4" i="75" s="1"/>
  <c r="AE4" i="75" s="1"/>
  <c r="AF4" i="75" s="1"/>
  <c r="C5" i="75"/>
  <c r="D5" i="75" s="1"/>
  <c r="E5" i="75" s="1"/>
  <c r="F5" i="75" s="1"/>
  <c r="G5" i="75" s="1"/>
  <c r="H5" i="75" s="1"/>
  <c r="I5" i="75" s="1"/>
  <c r="J5" i="75" s="1"/>
  <c r="K5" i="75" s="1"/>
  <c r="L5" i="75" s="1"/>
  <c r="M5" i="75" s="1"/>
  <c r="N5" i="75" s="1"/>
  <c r="O5" i="75" s="1"/>
  <c r="P5" i="75" s="1"/>
  <c r="Q5" i="75" s="1"/>
  <c r="R5" i="75" s="1"/>
  <c r="S5" i="75" s="1"/>
  <c r="T5" i="75" s="1"/>
  <c r="U5" i="75" s="1"/>
  <c r="V5" i="75" s="1"/>
  <c r="W5" i="75" s="1"/>
  <c r="X5" i="75" s="1"/>
  <c r="Y5" i="75" s="1"/>
  <c r="Z5" i="75" s="1"/>
  <c r="AA5" i="75" s="1"/>
  <c r="AB5" i="75" s="1"/>
  <c r="AC5" i="75" s="1"/>
  <c r="AD5" i="75" s="1"/>
  <c r="AE5" i="75" s="1"/>
  <c r="AF5" i="75" s="1"/>
  <c r="B2" i="75"/>
  <c r="C25" i="75"/>
  <c r="B2" i="73"/>
  <c r="B34" i="73"/>
  <c r="B32" i="73" s="1"/>
  <c r="B13" i="73" s="1"/>
  <c r="I72" i="73"/>
  <c r="J72" i="73" s="1"/>
  <c r="K72" i="73" s="1"/>
  <c r="L72" i="73" s="1"/>
  <c r="B11" i="74"/>
  <c r="C11" i="74"/>
  <c r="A169" i="1"/>
  <c r="D21" i="34"/>
  <c r="C21" i="34"/>
  <c r="B21" i="34"/>
  <c r="C73" i="73"/>
  <c r="D73" i="73" s="1"/>
  <c r="B8" i="75" l="1"/>
  <c r="B30" i="75"/>
  <c r="B15" i="73"/>
  <c r="E73" i="73"/>
  <c r="F73" i="73" s="1"/>
  <c r="G73" i="73" s="1"/>
  <c r="D34" i="73"/>
  <c r="C34" i="73"/>
  <c r="B74" i="73"/>
  <c r="C21" i="73"/>
  <c r="J79" i="73"/>
  <c r="N79" i="73"/>
  <c r="B77" i="73"/>
  <c r="N1" i="72"/>
  <c r="O1" i="72"/>
  <c r="P1" i="72"/>
  <c r="Q1" i="72"/>
  <c r="R1" i="72"/>
  <c r="S1" i="72"/>
  <c r="T1" i="72"/>
  <c r="U1" i="72"/>
  <c r="V1" i="72"/>
  <c r="W1" i="72"/>
  <c r="X1" i="72"/>
  <c r="Y1" i="72"/>
  <c r="Z1" i="72"/>
  <c r="AA1" i="72"/>
  <c r="AB1" i="72"/>
  <c r="AC1" i="72"/>
  <c r="AD1" i="72"/>
  <c r="AE1" i="72"/>
  <c r="AF1" i="72"/>
  <c r="N2" i="72"/>
  <c r="O2" i="72"/>
  <c r="P2" i="72"/>
  <c r="Q2" i="72"/>
  <c r="R2" i="72"/>
  <c r="S2" i="72"/>
  <c r="T2" i="72"/>
  <c r="U2" i="72"/>
  <c r="V2" i="72"/>
  <c r="W2" i="72"/>
  <c r="X2" i="72"/>
  <c r="Y2" i="72"/>
  <c r="Z2" i="72"/>
  <c r="AA2" i="72"/>
  <c r="AB2" i="72"/>
  <c r="AC2" i="72"/>
  <c r="AD2" i="72"/>
  <c r="AE2" i="72"/>
  <c r="AF2" i="72"/>
  <c r="M2" i="72"/>
  <c r="M1" i="72"/>
  <c r="C1" i="72"/>
  <c r="D1" i="72"/>
  <c r="E1" i="72"/>
  <c r="F1" i="72"/>
  <c r="G1" i="72"/>
  <c r="H1" i="72"/>
  <c r="I1" i="72"/>
  <c r="J1" i="72"/>
  <c r="K1" i="72"/>
  <c r="L1" i="72"/>
  <c r="C2" i="72"/>
  <c r="D2" i="72"/>
  <c r="E2" i="72"/>
  <c r="F2" i="72"/>
  <c r="G2" i="72"/>
  <c r="H2" i="72"/>
  <c r="I2" i="72"/>
  <c r="J2" i="72"/>
  <c r="K2" i="72"/>
  <c r="L2" i="72"/>
  <c r="B13" i="74"/>
  <c r="C22" i="74"/>
  <c r="D22" i="74" s="1"/>
  <c r="E22" i="74" s="1"/>
  <c r="F22" i="74" s="1"/>
  <c r="G22" i="74" s="1"/>
  <c r="H22" i="74" s="1"/>
  <c r="I22" i="74" s="1"/>
  <c r="J22" i="74" s="1"/>
  <c r="K22" i="74" s="1"/>
  <c r="L22" i="74" s="1"/>
  <c r="M22" i="74" s="1"/>
  <c r="N22" i="74" s="1"/>
  <c r="O22" i="74" s="1"/>
  <c r="P22" i="74" s="1"/>
  <c r="Q22" i="74" s="1"/>
  <c r="R22" i="74" s="1"/>
  <c r="S22" i="74" s="1"/>
  <c r="T22" i="74" s="1"/>
  <c r="U22" i="74" s="1"/>
  <c r="V22" i="74" s="1"/>
  <c r="W22" i="74" s="1"/>
  <c r="X22" i="74" s="1"/>
  <c r="Y22" i="74" s="1"/>
  <c r="Z22" i="74" s="1"/>
  <c r="AA22" i="74" s="1"/>
  <c r="AB22" i="74" s="1"/>
  <c r="AC22" i="74" s="1"/>
  <c r="AD22" i="74" s="1"/>
  <c r="AE22" i="74" s="1"/>
  <c r="AF22" i="74" s="1"/>
  <c r="AF13" i="74" s="1"/>
  <c r="A28" i="74"/>
  <c r="B28" i="74"/>
  <c r="A32" i="74"/>
  <c r="B32" i="74"/>
  <c r="A33" i="74"/>
  <c r="B33" i="74"/>
  <c r="A34" i="74"/>
  <c r="B34" i="74"/>
  <c r="C54" i="74"/>
  <c r="C55" i="74"/>
  <c r="B55" i="74"/>
  <c r="B54" i="74"/>
  <c r="E31" i="34"/>
  <c r="D63" i="74" s="1"/>
  <c r="D65" i="74" s="1"/>
  <c r="B47" i="74" s="1"/>
  <c r="B29" i="74" s="1"/>
  <c r="C65" i="74"/>
  <c r="B46" i="74" s="1"/>
  <c r="D52" i="74"/>
  <c r="B64" i="74" s="1"/>
  <c r="D51" i="74"/>
  <c r="B63" i="74" s="1"/>
  <c r="E79" i="73" l="1"/>
  <c r="E77" i="73" s="1"/>
  <c r="N77" i="73"/>
  <c r="J77" i="73"/>
  <c r="AF68" i="74"/>
  <c r="AF2" i="74"/>
  <c r="B2" i="74"/>
  <c r="B68" i="74"/>
  <c r="C32" i="73"/>
  <c r="C13" i="73" s="1"/>
  <c r="C15" i="73"/>
  <c r="D32" i="73"/>
  <c r="D13" i="73" s="1"/>
  <c r="D15" i="73"/>
  <c r="D21" i="73"/>
  <c r="C2" i="73"/>
  <c r="Z79" i="73"/>
  <c r="Z77" i="73" s="1"/>
  <c r="W79" i="73"/>
  <c r="W77" i="73" s="1"/>
  <c r="Y79" i="73"/>
  <c r="Y77" i="73" s="1"/>
  <c r="L79" i="73"/>
  <c r="L77" i="73" s="1"/>
  <c r="B25" i="73"/>
  <c r="C74" i="73"/>
  <c r="I79" i="73"/>
  <c r="I77" i="73" s="1"/>
  <c r="C79" i="73"/>
  <c r="C77" i="73" s="1"/>
  <c r="T79" i="73"/>
  <c r="T77" i="73" s="1"/>
  <c r="G79" i="73"/>
  <c r="G77" i="73" s="1"/>
  <c r="AE79" i="73"/>
  <c r="AE77" i="73" s="1"/>
  <c r="R79" i="73"/>
  <c r="R77" i="73" s="1"/>
  <c r="F79" i="73"/>
  <c r="F77" i="73" s="1"/>
  <c r="AD79" i="73"/>
  <c r="AD77" i="73" s="1"/>
  <c r="Q79" i="73"/>
  <c r="Q77" i="73" s="1"/>
  <c r="D79" i="73"/>
  <c r="D77" i="73" s="1"/>
  <c r="V79" i="73"/>
  <c r="V77" i="73" s="1"/>
  <c r="AB79" i="73"/>
  <c r="AB77" i="73" s="1"/>
  <c r="O79" i="73"/>
  <c r="O77" i="73" s="1"/>
  <c r="E34" i="73"/>
  <c r="T13" i="74"/>
  <c r="D13" i="74"/>
  <c r="S13" i="74"/>
  <c r="C13" i="74"/>
  <c r="R13" i="74"/>
  <c r="Y13" i="74"/>
  <c r="Q13" i="74"/>
  <c r="I13" i="74"/>
  <c r="AB13" i="74"/>
  <c r="L13" i="74"/>
  <c r="K13" i="74"/>
  <c r="Z13" i="74"/>
  <c r="J13" i="74"/>
  <c r="X13" i="74"/>
  <c r="P13" i="74"/>
  <c r="H13" i="74"/>
  <c r="AA13" i="74"/>
  <c r="AE13" i="74"/>
  <c r="W13" i="74"/>
  <c r="O13" i="74"/>
  <c r="G13" i="74"/>
  <c r="AD13" i="74"/>
  <c r="V13" i="74"/>
  <c r="N13" i="74"/>
  <c r="F13" i="74"/>
  <c r="AC13" i="74"/>
  <c r="U13" i="74"/>
  <c r="M13" i="74"/>
  <c r="E13" i="74"/>
  <c r="AA79" i="73"/>
  <c r="AA77" i="73" s="1"/>
  <c r="S79" i="73"/>
  <c r="S77" i="73" s="1"/>
  <c r="K79" i="73"/>
  <c r="K77" i="73" s="1"/>
  <c r="AF79" i="73"/>
  <c r="AF77" i="73" s="1"/>
  <c r="X79" i="73"/>
  <c r="X77" i="73" s="1"/>
  <c r="P79" i="73"/>
  <c r="P77" i="73" s="1"/>
  <c r="H79" i="73"/>
  <c r="H77" i="73" s="1"/>
  <c r="AC79" i="73"/>
  <c r="AC77" i="73" s="1"/>
  <c r="U79" i="73"/>
  <c r="U77" i="73" s="1"/>
  <c r="M79" i="73"/>
  <c r="M77" i="73" s="1"/>
  <c r="B48" i="74"/>
  <c r="B31" i="74" s="1"/>
  <c r="D54" i="74"/>
  <c r="B30" i="74"/>
  <c r="D55" i="74"/>
  <c r="B45" i="74"/>
  <c r="F31" i="74" s="1"/>
  <c r="B65" i="74"/>
  <c r="A41" i="73"/>
  <c r="A42" i="73"/>
  <c r="B15" i="72"/>
  <c r="A21" i="72"/>
  <c r="B20" i="72"/>
  <c r="C13" i="72"/>
  <c r="D13" i="72" s="1"/>
  <c r="E13" i="72" s="1"/>
  <c r="F13" i="72" s="1"/>
  <c r="G13" i="72" s="1"/>
  <c r="G15" i="72" s="1"/>
  <c r="B11" i="72"/>
  <c r="C9" i="72"/>
  <c r="G14" i="72" s="1"/>
  <c r="D9" i="72"/>
  <c r="L14" i="72" s="1"/>
  <c r="B9" i="72"/>
  <c r="B14" i="72" s="1"/>
  <c r="B12" i="72" s="1"/>
  <c r="B2" i="72" s="1"/>
  <c r="C61" i="73"/>
  <c r="C49" i="73" s="1"/>
  <c r="D58" i="73"/>
  <c r="D57" i="73"/>
  <c r="D47" i="73"/>
  <c r="B78" i="73" s="1"/>
  <c r="D48" i="73"/>
  <c r="A170" i="1"/>
  <c r="H68" i="74" l="1"/>
  <c r="H2" i="74"/>
  <c r="P68" i="74"/>
  <c r="P2" i="74"/>
  <c r="Q68" i="74"/>
  <c r="Q2" i="74"/>
  <c r="F68" i="74"/>
  <c r="F2" i="74"/>
  <c r="I68" i="74"/>
  <c r="I2" i="74"/>
  <c r="V68" i="74"/>
  <c r="V2" i="74"/>
  <c r="AD68" i="74"/>
  <c r="AD2" i="74"/>
  <c r="X68" i="74"/>
  <c r="X2" i="74"/>
  <c r="Y68" i="74"/>
  <c r="Y2" i="74"/>
  <c r="AA68" i="74"/>
  <c r="AA2" i="74"/>
  <c r="E68" i="74"/>
  <c r="E2" i="74"/>
  <c r="G68" i="74"/>
  <c r="G2" i="74"/>
  <c r="J68" i="74"/>
  <c r="J2" i="74"/>
  <c r="R68" i="74"/>
  <c r="R2" i="74"/>
  <c r="M68" i="74"/>
  <c r="M2" i="74"/>
  <c r="Z68" i="74"/>
  <c r="Z2" i="74"/>
  <c r="C68" i="74"/>
  <c r="C2" i="74"/>
  <c r="T68" i="74"/>
  <c r="T2" i="74"/>
  <c r="N68" i="74"/>
  <c r="N2" i="74"/>
  <c r="U68" i="74"/>
  <c r="U2" i="74"/>
  <c r="W68" i="74"/>
  <c r="W2" i="74"/>
  <c r="K68" i="74"/>
  <c r="K2" i="74"/>
  <c r="S68" i="74"/>
  <c r="S2" i="74"/>
  <c r="AB68" i="74"/>
  <c r="AB2" i="74"/>
  <c r="O68" i="74"/>
  <c r="O2" i="74"/>
  <c r="AC68" i="74"/>
  <c r="AC2" i="74"/>
  <c r="AE68" i="74"/>
  <c r="AE2" i="74"/>
  <c r="L68" i="74"/>
  <c r="L2" i="74"/>
  <c r="D68" i="74"/>
  <c r="D2" i="74"/>
  <c r="E21" i="73"/>
  <c r="D2" i="73"/>
  <c r="E32" i="73"/>
  <c r="E13" i="73" s="1"/>
  <c r="E15" i="73"/>
  <c r="B23" i="73"/>
  <c r="B4" i="73" s="1"/>
  <c r="B6" i="73"/>
  <c r="D74" i="73"/>
  <c r="E74" i="73" s="1"/>
  <c r="C25" i="73"/>
  <c r="F34" i="73"/>
  <c r="H80" i="73"/>
  <c r="H78" i="73" s="1"/>
  <c r="P80" i="73"/>
  <c r="P78" i="73" s="1"/>
  <c r="X80" i="73"/>
  <c r="X78" i="73" s="1"/>
  <c r="AF80" i="73"/>
  <c r="AF78" i="73" s="1"/>
  <c r="Y80" i="73"/>
  <c r="Y78" i="73" s="1"/>
  <c r="Z80" i="73"/>
  <c r="Z78" i="73" s="1"/>
  <c r="R80" i="73"/>
  <c r="R78" i="73" s="1"/>
  <c r="K80" i="73"/>
  <c r="K78" i="73" s="1"/>
  <c r="S80" i="73"/>
  <c r="S78" i="73" s="1"/>
  <c r="AA80" i="73"/>
  <c r="AA78" i="73" s="1"/>
  <c r="D80" i="73"/>
  <c r="D78" i="73" s="1"/>
  <c r="L80" i="73"/>
  <c r="L78" i="73" s="1"/>
  <c r="T80" i="73"/>
  <c r="T78" i="73" s="1"/>
  <c r="AB80" i="73"/>
  <c r="AB78" i="73" s="1"/>
  <c r="E80" i="73"/>
  <c r="E78" i="73" s="1"/>
  <c r="M80" i="73"/>
  <c r="M78" i="73" s="1"/>
  <c r="U80" i="73"/>
  <c r="U78" i="73" s="1"/>
  <c r="AC80" i="73"/>
  <c r="AC78" i="73" s="1"/>
  <c r="F80" i="73"/>
  <c r="F78" i="73" s="1"/>
  <c r="N80" i="73"/>
  <c r="N78" i="73" s="1"/>
  <c r="V80" i="73"/>
  <c r="V78" i="73" s="1"/>
  <c r="AD80" i="73"/>
  <c r="AD78" i="73" s="1"/>
  <c r="G80" i="73"/>
  <c r="G78" i="73" s="1"/>
  <c r="O80" i="73"/>
  <c r="O78" i="73" s="1"/>
  <c r="W80" i="73"/>
  <c r="W78" i="73" s="1"/>
  <c r="AE80" i="73"/>
  <c r="AE78" i="73" s="1"/>
  <c r="I80" i="73"/>
  <c r="I78" i="73" s="1"/>
  <c r="Q80" i="73"/>
  <c r="Q78" i="73" s="1"/>
  <c r="C80" i="73"/>
  <c r="C78" i="73" s="1"/>
  <c r="J80" i="73"/>
  <c r="J78" i="73" s="1"/>
  <c r="C11" i="72"/>
  <c r="D11" i="72" s="1"/>
  <c r="E11" i="72" s="1"/>
  <c r="F11" i="72" s="1"/>
  <c r="G11" i="72" s="1"/>
  <c r="H11" i="72" s="1"/>
  <c r="I11" i="72" s="1"/>
  <c r="J11" i="72" s="1"/>
  <c r="K11" i="72" s="1"/>
  <c r="L11" i="72" s="1"/>
  <c r="M11" i="72" s="1"/>
  <c r="N11" i="72" s="1"/>
  <c r="O11" i="72" s="1"/>
  <c r="P11" i="72" s="1"/>
  <c r="Q11" i="72" s="1"/>
  <c r="R11" i="72" s="1"/>
  <c r="S11" i="72" s="1"/>
  <c r="T11" i="72" s="1"/>
  <c r="U11" i="72" s="1"/>
  <c r="V11" i="72" s="1"/>
  <c r="W11" i="72" s="1"/>
  <c r="X11" i="72" s="1"/>
  <c r="Y11" i="72" s="1"/>
  <c r="Z11" i="72" s="1"/>
  <c r="AA11" i="72" s="1"/>
  <c r="AB11" i="72" s="1"/>
  <c r="AC11" i="72" s="1"/>
  <c r="AD11" i="72" s="1"/>
  <c r="AE11" i="72" s="1"/>
  <c r="AF11" i="72" s="1"/>
  <c r="B1" i="72"/>
  <c r="F15" i="72"/>
  <c r="F12" i="72" s="1"/>
  <c r="G12" i="72"/>
  <c r="C45" i="74"/>
  <c r="D45" i="74" s="1"/>
  <c r="F33" i="74"/>
  <c r="F34" i="74"/>
  <c r="F32" i="74"/>
  <c r="E46" i="74"/>
  <c r="E15" i="72"/>
  <c r="E12" i="72" s="1"/>
  <c r="D15" i="72"/>
  <c r="D12" i="72" s="1"/>
  <c r="C15" i="72"/>
  <c r="C12" i="72" s="1"/>
  <c r="C21" i="72"/>
  <c r="B21" i="72"/>
  <c r="H13" i="72"/>
  <c r="D59" i="73"/>
  <c r="D60" i="73" s="1"/>
  <c r="D66" i="73" s="1"/>
  <c r="D70" i="73" s="1"/>
  <c r="B22" i="73" s="1"/>
  <c r="B88" i="73" s="1"/>
  <c r="C52" i="73"/>
  <c r="B3" i="73" l="1"/>
  <c r="C23" i="73"/>
  <c r="C4" i="73" s="1"/>
  <c r="C6" i="73"/>
  <c r="F32" i="73"/>
  <c r="F13" i="73" s="1"/>
  <c r="F15" i="73"/>
  <c r="F21" i="73"/>
  <c r="E2" i="73"/>
  <c r="H73" i="73"/>
  <c r="G34" i="73"/>
  <c r="C22" i="73"/>
  <c r="C88" i="73" s="1"/>
  <c r="I22" i="73"/>
  <c r="I88" i="73" s="1"/>
  <c r="Q22" i="73"/>
  <c r="Q88" i="73" s="1"/>
  <c r="Y22" i="73"/>
  <c r="Y88" i="73" s="1"/>
  <c r="D22" i="73"/>
  <c r="D88" i="73" s="1"/>
  <c r="X22" i="73"/>
  <c r="X88" i="73" s="1"/>
  <c r="J22" i="73"/>
  <c r="J88" i="73" s="1"/>
  <c r="R22" i="73"/>
  <c r="R88" i="73" s="1"/>
  <c r="Z22" i="73"/>
  <c r="Z88" i="73" s="1"/>
  <c r="AE22" i="73"/>
  <c r="AE88" i="73" s="1"/>
  <c r="P22" i="73"/>
  <c r="P88" i="73" s="1"/>
  <c r="K22" i="73"/>
  <c r="K88" i="73" s="1"/>
  <c r="S22" i="73"/>
  <c r="S88" i="73" s="1"/>
  <c r="AA22" i="73"/>
  <c r="AA88" i="73" s="1"/>
  <c r="L22" i="73"/>
  <c r="L88" i="73" s="1"/>
  <c r="T22" i="73"/>
  <c r="T88" i="73" s="1"/>
  <c r="AB22" i="73"/>
  <c r="AB88" i="73" s="1"/>
  <c r="W22" i="73"/>
  <c r="W88" i="73" s="1"/>
  <c r="B28" i="73"/>
  <c r="B9" i="73" s="1"/>
  <c r="E22" i="73"/>
  <c r="E88" i="73" s="1"/>
  <c r="M22" i="73"/>
  <c r="M88" i="73" s="1"/>
  <c r="U22" i="73"/>
  <c r="U88" i="73" s="1"/>
  <c r="AC22" i="73"/>
  <c r="AC88" i="73" s="1"/>
  <c r="AF22" i="73"/>
  <c r="AF88" i="73" s="1"/>
  <c r="F22" i="73"/>
  <c r="F88" i="73" s="1"/>
  <c r="N22" i="73"/>
  <c r="N88" i="73" s="1"/>
  <c r="V22" i="73"/>
  <c r="V88" i="73" s="1"/>
  <c r="AD22" i="73"/>
  <c r="AD88" i="73" s="1"/>
  <c r="G22" i="73"/>
  <c r="G88" i="73" s="1"/>
  <c r="O22" i="73"/>
  <c r="O88" i="73" s="1"/>
  <c r="H22" i="73"/>
  <c r="H88" i="73" s="1"/>
  <c r="D25" i="73"/>
  <c r="I13" i="72"/>
  <c r="H15" i="72"/>
  <c r="H12" i="72" s="1"/>
  <c r="C53" i="73"/>
  <c r="B41" i="73" s="1"/>
  <c r="B40" i="73"/>
  <c r="D69" i="73"/>
  <c r="B31" i="73" s="1"/>
  <c r="B12" i="73" l="1"/>
  <c r="B87" i="73"/>
  <c r="AC28" i="73"/>
  <c r="AC9" i="73" s="1"/>
  <c r="AC3" i="73"/>
  <c r="AC2" i="75" s="1"/>
  <c r="J28" i="73"/>
  <c r="J9" i="73" s="1"/>
  <c r="J3" i="73"/>
  <c r="J2" i="75" s="1"/>
  <c r="G21" i="73"/>
  <c r="F2" i="73"/>
  <c r="G32" i="73"/>
  <c r="G13" i="73" s="1"/>
  <c r="G15" i="73"/>
  <c r="X28" i="73"/>
  <c r="X9" i="73" s="1"/>
  <c r="X3" i="73"/>
  <c r="X2" i="75" s="1"/>
  <c r="K28" i="73"/>
  <c r="K9" i="73" s="1"/>
  <c r="K3" i="73"/>
  <c r="K2" i="75" s="1"/>
  <c r="T28" i="73"/>
  <c r="T9" i="73" s="1"/>
  <c r="T3" i="73"/>
  <c r="T2" i="75" s="1"/>
  <c r="H28" i="73"/>
  <c r="H9" i="73" s="1"/>
  <c r="H3" i="73"/>
  <c r="H2" i="75" s="1"/>
  <c r="AA28" i="73"/>
  <c r="AA9" i="73" s="1"/>
  <c r="AA3" i="73"/>
  <c r="AA2" i="75" s="1"/>
  <c r="M28" i="73"/>
  <c r="M9" i="73" s="1"/>
  <c r="M3" i="73"/>
  <c r="M2" i="75" s="1"/>
  <c r="D28" i="73"/>
  <c r="D9" i="73" s="1"/>
  <c r="D3" i="73"/>
  <c r="D2" i="75" s="1"/>
  <c r="AD28" i="73"/>
  <c r="AD9" i="73" s="1"/>
  <c r="AD3" i="73"/>
  <c r="AD2" i="75" s="1"/>
  <c r="P28" i="73"/>
  <c r="P9" i="73" s="1"/>
  <c r="P3" i="73"/>
  <c r="P2" i="75" s="1"/>
  <c r="Q28" i="73"/>
  <c r="Q9" i="73" s="1"/>
  <c r="Q3" i="73"/>
  <c r="Q2" i="75" s="1"/>
  <c r="AF28" i="73"/>
  <c r="AF9" i="73" s="1"/>
  <c r="AF3" i="73"/>
  <c r="AF2" i="75" s="1"/>
  <c r="L28" i="73"/>
  <c r="L9" i="73" s="1"/>
  <c r="L3" i="73"/>
  <c r="L2" i="75" s="1"/>
  <c r="U28" i="73"/>
  <c r="U9" i="73" s="1"/>
  <c r="U3" i="73"/>
  <c r="U2" i="75" s="1"/>
  <c r="G28" i="73"/>
  <c r="G9" i="73" s="1"/>
  <c r="G3" i="73"/>
  <c r="G2" i="75" s="1"/>
  <c r="S28" i="73"/>
  <c r="S9" i="73" s="1"/>
  <c r="S3" i="73"/>
  <c r="S2" i="75" s="1"/>
  <c r="E28" i="73"/>
  <c r="E9" i="73" s="1"/>
  <c r="E3" i="73"/>
  <c r="E2" i="75" s="1"/>
  <c r="V28" i="73"/>
  <c r="V9" i="73" s="1"/>
  <c r="V3" i="73"/>
  <c r="V2" i="75" s="1"/>
  <c r="N28" i="73"/>
  <c r="N9" i="73" s="1"/>
  <c r="N3" i="73"/>
  <c r="N2" i="75" s="1"/>
  <c r="W28" i="73"/>
  <c r="W9" i="73" s="1"/>
  <c r="W3" i="73"/>
  <c r="W2" i="75" s="1"/>
  <c r="AE28" i="73"/>
  <c r="AE9" i="73" s="1"/>
  <c r="AE3" i="73"/>
  <c r="AE2" i="75" s="1"/>
  <c r="I28" i="73"/>
  <c r="I9" i="73" s="1"/>
  <c r="I3" i="73"/>
  <c r="I2" i="75" s="1"/>
  <c r="R28" i="73"/>
  <c r="R9" i="73" s="1"/>
  <c r="R3" i="73"/>
  <c r="R2" i="75" s="1"/>
  <c r="O28" i="73"/>
  <c r="O9" i="73" s="1"/>
  <c r="O3" i="73"/>
  <c r="O2" i="75" s="1"/>
  <c r="Y28" i="73"/>
  <c r="Y9" i="73" s="1"/>
  <c r="Y3" i="73"/>
  <c r="Y2" i="75" s="1"/>
  <c r="D23" i="73"/>
  <c r="D4" i="73" s="1"/>
  <c r="D6" i="73"/>
  <c r="F28" i="73"/>
  <c r="F9" i="73" s="1"/>
  <c r="F3" i="73"/>
  <c r="F2" i="75" s="1"/>
  <c r="AB28" i="73"/>
  <c r="AB9" i="73" s="1"/>
  <c r="AB3" i="73"/>
  <c r="AB2" i="75" s="1"/>
  <c r="Z28" i="73"/>
  <c r="Z9" i="73" s="1"/>
  <c r="Z3" i="73"/>
  <c r="Z2" i="75" s="1"/>
  <c r="C28" i="73"/>
  <c r="C9" i="73" s="1"/>
  <c r="C3" i="73"/>
  <c r="C2" i="75" s="1"/>
  <c r="G31" i="73"/>
  <c r="G87" i="73" s="1"/>
  <c r="O31" i="73"/>
  <c r="O87" i="73" s="1"/>
  <c r="W31" i="73"/>
  <c r="W87" i="73" s="1"/>
  <c r="AE31" i="73"/>
  <c r="AE87" i="73" s="1"/>
  <c r="AC31" i="73"/>
  <c r="AC87" i="73" s="1"/>
  <c r="AD31" i="73"/>
  <c r="AD87" i="73" s="1"/>
  <c r="H31" i="73"/>
  <c r="H87" i="73" s="1"/>
  <c r="P31" i="73"/>
  <c r="P87" i="73" s="1"/>
  <c r="X31" i="73"/>
  <c r="X87" i="73" s="1"/>
  <c r="AF31" i="73"/>
  <c r="AF87" i="73" s="1"/>
  <c r="F31" i="73"/>
  <c r="F87" i="73" s="1"/>
  <c r="I31" i="73"/>
  <c r="I87" i="73" s="1"/>
  <c r="Q31" i="73"/>
  <c r="Q87" i="73" s="1"/>
  <c r="Y31" i="73"/>
  <c r="Y87" i="73" s="1"/>
  <c r="C31" i="73"/>
  <c r="C87" i="73" s="1"/>
  <c r="U31" i="73"/>
  <c r="U87" i="73" s="1"/>
  <c r="J31" i="73"/>
  <c r="J87" i="73" s="1"/>
  <c r="R31" i="73"/>
  <c r="R87" i="73" s="1"/>
  <c r="Z31" i="73"/>
  <c r="Z87" i="73" s="1"/>
  <c r="M31" i="73"/>
  <c r="M87" i="73" s="1"/>
  <c r="K31" i="73"/>
  <c r="K87" i="73" s="1"/>
  <c r="S31" i="73"/>
  <c r="S87" i="73" s="1"/>
  <c r="AA31" i="73"/>
  <c r="AA87" i="73" s="1"/>
  <c r="V31" i="73"/>
  <c r="V87" i="73" s="1"/>
  <c r="B37" i="73"/>
  <c r="B18" i="73" s="1"/>
  <c r="D31" i="73"/>
  <c r="D87" i="73" s="1"/>
  <c r="L31" i="73"/>
  <c r="L87" i="73" s="1"/>
  <c r="T31" i="73"/>
  <c r="T87" i="73" s="1"/>
  <c r="AB31" i="73"/>
  <c r="AB87" i="73" s="1"/>
  <c r="E31" i="73"/>
  <c r="E87" i="73" s="1"/>
  <c r="N31" i="73"/>
  <c r="N87" i="73" s="1"/>
  <c r="F74" i="73"/>
  <c r="G74" i="73" s="1"/>
  <c r="E25" i="73"/>
  <c r="H34" i="73"/>
  <c r="I73" i="73"/>
  <c r="J13" i="72"/>
  <c r="I15" i="72"/>
  <c r="I12" i="72" s="1"/>
  <c r="C60" i="46"/>
  <c r="E56" i="45"/>
  <c r="B37" i="45" s="1"/>
  <c r="C110" i="47"/>
  <c r="B85" i="46"/>
  <c r="E204" i="46"/>
  <c r="B84" i="46" s="1"/>
  <c r="E203" i="46"/>
  <c r="E202" i="46"/>
  <c r="E201" i="46"/>
  <c r="E200" i="46"/>
  <c r="E199" i="46"/>
  <c r="E198" i="46"/>
  <c r="E197" i="46"/>
  <c r="E196" i="46"/>
  <c r="E195" i="46"/>
  <c r="E194" i="46"/>
  <c r="E193" i="46"/>
  <c r="E192" i="46"/>
  <c r="E191" i="46"/>
  <c r="E190" i="46"/>
  <c r="E189" i="46"/>
  <c r="E188" i="46"/>
  <c r="E187" i="46"/>
  <c r="E186" i="46"/>
  <c r="E185" i="46"/>
  <c r="E184" i="46"/>
  <c r="E183" i="46"/>
  <c r="E182" i="46"/>
  <c r="E181" i="46"/>
  <c r="E180" i="46"/>
  <c r="E179" i="46"/>
  <c r="E178" i="46"/>
  <c r="E177" i="46"/>
  <c r="E176" i="46"/>
  <c r="E175" i="46"/>
  <c r="E174" i="46"/>
  <c r="E173" i="46"/>
  <c r="E172" i="46"/>
  <c r="E171" i="46"/>
  <c r="E170" i="46"/>
  <c r="E169" i="46"/>
  <c r="E168" i="46"/>
  <c r="E167" i="46"/>
  <c r="E166" i="46"/>
  <c r="E165" i="46"/>
  <c r="E164" i="46"/>
  <c r="E163" i="46"/>
  <c r="E162" i="46"/>
  <c r="E161" i="46"/>
  <c r="B94" i="46"/>
  <c r="AF8" i="75" l="1"/>
  <c r="AF30" i="75"/>
  <c r="D8" i="75"/>
  <c r="D30" i="75"/>
  <c r="T8" i="75"/>
  <c r="T30" i="75"/>
  <c r="W8" i="75"/>
  <c r="W30" i="75"/>
  <c r="N8" i="75"/>
  <c r="N30" i="75"/>
  <c r="G8" i="75"/>
  <c r="G30" i="75"/>
  <c r="Q8" i="75"/>
  <c r="Q30" i="75"/>
  <c r="M8" i="75"/>
  <c r="M30" i="75"/>
  <c r="K8" i="75"/>
  <c r="K30" i="75"/>
  <c r="J8" i="75"/>
  <c r="J30" i="75"/>
  <c r="O8" i="75"/>
  <c r="O30" i="75"/>
  <c r="C8" i="75"/>
  <c r="C30" i="75"/>
  <c r="V8" i="75"/>
  <c r="V30" i="75"/>
  <c r="U8" i="75"/>
  <c r="U30" i="75"/>
  <c r="P8" i="75"/>
  <c r="P30" i="75"/>
  <c r="AA8" i="75"/>
  <c r="AA30" i="75"/>
  <c r="AC8" i="75"/>
  <c r="AC30" i="75"/>
  <c r="AB8" i="75"/>
  <c r="AB30" i="75"/>
  <c r="F8" i="75"/>
  <c r="F30" i="75"/>
  <c r="I8" i="75"/>
  <c r="I30" i="75"/>
  <c r="X8" i="75"/>
  <c r="X30" i="75"/>
  <c r="R8" i="75"/>
  <c r="R30" i="75"/>
  <c r="Z8" i="75"/>
  <c r="Z30" i="75"/>
  <c r="Y8" i="75"/>
  <c r="Y30" i="75"/>
  <c r="E8" i="75"/>
  <c r="E30" i="75"/>
  <c r="L8" i="75"/>
  <c r="L30" i="75"/>
  <c r="H8" i="75"/>
  <c r="H30" i="75"/>
  <c r="S8" i="75"/>
  <c r="S30" i="75"/>
  <c r="AE8" i="75"/>
  <c r="AE30" i="75"/>
  <c r="AD8" i="75"/>
  <c r="AD30" i="75"/>
  <c r="AB37" i="73"/>
  <c r="AB18" i="73" s="1"/>
  <c r="AB12" i="73"/>
  <c r="K37" i="73"/>
  <c r="K18" i="73" s="1"/>
  <c r="K12" i="73"/>
  <c r="Q37" i="73"/>
  <c r="Q18" i="73" s="1"/>
  <c r="Q12" i="73"/>
  <c r="AC37" i="73"/>
  <c r="AC18" i="73" s="1"/>
  <c r="AC12" i="73"/>
  <c r="E37" i="73"/>
  <c r="E18" i="73" s="1"/>
  <c r="E12" i="73"/>
  <c r="I37" i="73"/>
  <c r="I18" i="73" s="1"/>
  <c r="I12" i="73"/>
  <c r="Z37" i="73"/>
  <c r="Z18" i="73" s="1"/>
  <c r="Z12" i="73"/>
  <c r="W37" i="73"/>
  <c r="W18" i="73" s="1"/>
  <c r="W12" i="73"/>
  <c r="H21" i="73"/>
  <c r="G2" i="73"/>
  <c r="AD37" i="73"/>
  <c r="AD18" i="73" s="1"/>
  <c r="AD12" i="73"/>
  <c r="M37" i="73"/>
  <c r="M18" i="73" s="1"/>
  <c r="M12" i="73"/>
  <c r="L37" i="73"/>
  <c r="L18" i="73" s="1"/>
  <c r="L12" i="73"/>
  <c r="F37" i="73"/>
  <c r="F18" i="73" s="1"/>
  <c r="F12" i="73"/>
  <c r="H32" i="73"/>
  <c r="H13" i="73" s="1"/>
  <c r="H15" i="73"/>
  <c r="D37" i="73"/>
  <c r="D18" i="73" s="1"/>
  <c r="D12" i="73"/>
  <c r="R37" i="73"/>
  <c r="R18" i="73" s="1"/>
  <c r="R12" i="73"/>
  <c r="AF37" i="73"/>
  <c r="AF18" i="73" s="1"/>
  <c r="AF12" i="73"/>
  <c r="O37" i="73"/>
  <c r="O18" i="73" s="1"/>
  <c r="O12" i="73"/>
  <c r="S37" i="73"/>
  <c r="S18" i="73" s="1"/>
  <c r="S12" i="73"/>
  <c r="AE37" i="73"/>
  <c r="AE18" i="73" s="1"/>
  <c r="AE12" i="73"/>
  <c r="E23" i="73"/>
  <c r="E4" i="73" s="1"/>
  <c r="E6" i="73"/>
  <c r="X37" i="73"/>
  <c r="X18" i="73" s="1"/>
  <c r="X12" i="73"/>
  <c r="G37" i="73"/>
  <c r="G18" i="73" s="1"/>
  <c r="G12" i="73"/>
  <c r="T37" i="73"/>
  <c r="T18" i="73" s="1"/>
  <c r="T12" i="73"/>
  <c r="J37" i="73"/>
  <c r="J18" i="73" s="1"/>
  <c r="J12" i="73"/>
  <c r="V37" i="73"/>
  <c r="V18" i="73" s="1"/>
  <c r="V12" i="73"/>
  <c r="U37" i="73"/>
  <c r="U18" i="73" s="1"/>
  <c r="U12" i="73"/>
  <c r="P37" i="73"/>
  <c r="P18" i="73" s="1"/>
  <c r="P12" i="73"/>
  <c r="Y37" i="73"/>
  <c r="Y18" i="73" s="1"/>
  <c r="Y12" i="73"/>
  <c r="N37" i="73"/>
  <c r="N18" i="73" s="1"/>
  <c r="N12" i="73"/>
  <c r="AA37" i="73"/>
  <c r="AA18" i="73" s="1"/>
  <c r="AA12" i="73"/>
  <c r="C37" i="73"/>
  <c r="C18" i="73" s="1"/>
  <c r="C12" i="73"/>
  <c r="H37" i="73"/>
  <c r="H18" i="73" s="1"/>
  <c r="H12" i="73"/>
  <c r="J73" i="73"/>
  <c r="I34" i="73"/>
  <c r="F25" i="73"/>
  <c r="K13" i="72"/>
  <c r="J15" i="72"/>
  <c r="J12" i="72" s="1"/>
  <c r="AI99" i="67"/>
  <c r="AH99" i="67"/>
  <c r="AG99" i="67"/>
  <c r="AF99" i="67"/>
  <c r="AE99" i="67"/>
  <c r="AD99" i="67"/>
  <c r="AC99" i="67"/>
  <c r="AB99" i="67"/>
  <c r="AA99" i="67"/>
  <c r="Z99" i="67"/>
  <c r="Y99" i="67"/>
  <c r="X99" i="67"/>
  <c r="W99" i="67"/>
  <c r="V99" i="67"/>
  <c r="U99" i="67"/>
  <c r="T99" i="67"/>
  <c r="S99" i="67"/>
  <c r="R99" i="67"/>
  <c r="Q99" i="67"/>
  <c r="P99" i="67"/>
  <c r="O99" i="67"/>
  <c r="N99" i="67"/>
  <c r="M99" i="67"/>
  <c r="L99" i="67"/>
  <c r="K99" i="67"/>
  <c r="J99" i="67"/>
  <c r="I99" i="67"/>
  <c r="H99" i="67"/>
  <c r="G99" i="67"/>
  <c r="F99" i="67"/>
  <c r="D99" i="67"/>
  <c r="C99" i="67"/>
  <c r="B99" i="67"/>
  <c r="A99" i="67"/>
  <c r="AI98" i="67"/>
  <c r="AH98" i="67"/>
  <c r="AG98" i="67"/>
  <c r="AG100" i="67" s="1"/>
  <c r="AF98" i="67"/>
  <c r="AE98" i="67"/>
  <c r="AE100" i="67" s="1"/>
  <c r="AE101" i="67" s="1"/>
  <c r="AD98" i="67"/>
  <c r="AD100" i="67" s="1"/>
  <c r="AD101" i="67" s="1"/>
  <c r="AC98" i="67"/>
  <c r="AB98" i="67"/>
  <c r="AA98" i="67"/>
  <c r="Z98" i="67"/>
  <c r="Y98" i="67"/>
  <c r="Y100" i="67" s="1"/>
  <c r="X98" i="67"/>
  <c r="W98" i="67"/>
  <c r="W100" i="67" s="1"/>
  <c r="W101" i="67" s="1"/>
  <c r="V98" i="67"/>
  <c r="V100" i="67" s="1"/>
  <c r="V101" i="67" s="1"/>
  <c r="U98" i="67"/>
  <c r="T98" i="67"/>
  <c r="S98" i="67"/>
  <c r="R98" i="67"/>
  <c r="Q98" i="67"/>
  <c r="Q100" i="67" s="1"/>
  <c r="P98" i="67"/>
  <c r="O98" i="67"/>
  <c r="O100" i="67" s="1"/>
  <c r="O101" i="67" s="1"/>
  <c r="N98" i="67"/>
  <c r="N100" i="67" s="1"/>
  <c r="N101" i="67" s="1"/>
  <c r="M98" i="67"/>
  <c r="L98" i="67"/>
  <c r="K98" i="67"/>
  <c r="J98" i="67"/>
  <c r="I98" i="67"/>
  <c r="I100" i="67" s="1"/>
  <c r="H98" i="67"/>
  <c r="G98" i="67"/>
  <c r="G100" i="67" s="1"/>
  <c r="G101" i="67" s="1"/>
  <c r="F98" i="67"/>
  <c r="F100" i="67" s="1"/>
  <c r="F101" i="67" s="1"/>
  <c r="D98" i="67"/>
  <c r="C98" i="67"/>
  <c r="B98" i="67"/>
  <c r="A98" i="67"/>
  <c r="AI94" i="67"/>
  <c r="AH94" i="67"/>
  <c r="AG94" i="67"/>
  <c r="AF94" i="67"/>
  <c r="AE94" i="67"/>
  <c r="AD94" i="67"/>
  <c r="AC94" i="67"/>
  <c r="AB94" i="67"/>
  <c r="AA94" i="67"/>
  <c r="Z94" i="67"/>
  <c r="Y94" i="67"/>
  <c r="X94" i="67"/>
  <c r="W94" i="67"/>
  <c r="V94" i="67"/>
  <c r="U94" i="67"/>
  <c r="T94" i="67"/>
  <c r="S94" i="67"/>
  <c r="R94" i="67"/>
  <c r="Q94" i="67"/>
  <c r="P94" i="67"/>
  <c r="O94" i="67"/>
  <c r="N94" i="67"/>
  <c r="M94" i="67"/>
  <c r="L94" i="67"/>
  <c r="K94" i="67"/>
  <c r="J94" i="67"/>
  <c r="I94" i="67"/>
  <c r="H94" i="67"/>
  <c r="G94" i="67"/>
  <c r="F94" i="67"/>
  <c r="E94" i="67"/>
  <c r="D94" i="67"/>
  <c r="C94" i="67"/>
  <c r="B94" i="67"/>
  <c r="A94" i="67"/>
  <c r="AI93" i="67"/>
  <c r="AI95" i="67" s="1"/>
  <c r="AH93" i="67"/>
  <c r="AG93" i="67"/>
  <c r="AF93" i="67"/>
  <c r="AE93" i="67"/>
  <c r="AD93" i="67"/>
  <c r="AD95" i="67" s="1"/>
  <c r="AD96" i="67" s="1"/>
  <c r="AC93" i="67"/>
  <c r="AB93" i="67"/>
  <c r="AA93" i="67"/>
  <c r="Z93" i="67"/>
  <c r="Y93" i="67"/>
  <c r="Y95" i="67" s="1"/>
  <c r="X93" i="67"/>
  <c r="W93" i="67"/>
  <c r="V93" i="67"/>
  <c r="V95" i="67" s="1"/>
  <c r="V96" i="67" s="1"/>
  <c r="U93" i="67"/>
  <c r="T93" i="67"/>
  <c r="S93" i="67"/>
  <c r="S95" i="67" s="1"/>
  <c r="R93" i="67"/>
  <c r="Q93" i="67"/>
  <c r="Q95" i="67" s="1"/>
  <c r="P93" i="67"/>
  <c r="O93" i="67"/>
  <c r="N93" i="67"/>
  <c r="N95" i="67" s="1"/>
  <c r="N96" i="67" s="1"/>
  <c r="M93" i="67"/>
  <c r="L93" i="67"/>
  <c r="K93" i="67"/>
  <c r="J93" i="67"/>
  <c r="I93" i="67"/>
  <c r="I95" i="67" s="1"/>
  <c r="H93" i="67"/>
  <c r="G93" i="67"/>
  <c r="F93" i="67"/>
  <c r="F95" i="67" s="1"/>
  <c r="F96" i="67" s="1"/>
  <c r="E93" i="67"/>
  <c r="D93" i="67"/>
  <c r="C93" i="67"/>
  <c r="B93" i="67"/>
  <c r="A93" i="67"/>
  <c r="AI87" i="67"/>
  <c r="AH87" i="67"/>
  <c r="AG87" i="67"/>
  <c r="AF87" i="67"/>
  <c r="AE87" i="67"/>
  <c r="AD87" i="67"/>
  <c r="AC87" i="67"/>
  <c r="AB87" i="67"/>
  <c r="AA87" i="67"/>
  <c r="Z87" i="67"/>
  <c r="Y87" i="67"/>
  <c r="X87" i="67"/>
  <c r="W87" i="67"/>
  <c r="V87" i="67"/>
  <c r="U87" i="67"/>
  <c r="T87" i="67"/>
  <c r="S87" i="67"/>
  <c r="R87" i="67"/>
  <c r="Q87" i="67"/>
  <c r="P87" i="67"/>
  <c r="O87" i="67"/>
  <c r="N87" i="67"/>
  <c r="M87" i="67"/>
  <c r="L87" i="67"/>
  <c r="K87" i="67"/>
  <c r="J87" i="67"/>
  <c r="I87" i="67"/>
  <c r="H87" i="67"/>
  <c r="G87" i="67"/>
  <c r="F87" i="67"/>
  <c r="D87" i="67"/>
  <c r="C87" i="67"/>
  <c r="B87" i="67"/>
  <c r="A87" i="67"/>
  <c r="AI86" i="67"/>
  <c r="AH86" i="67"/>
  <c r="AG86" i="67"/>
  <c r="AF86" i="67"/>
  <c r="AF88" i="67" s="1"/>
  <c r="AF90" i="67" s="1"/>
  <c r="AE86" i="67"/>
  <c r="AD86" i="67"/>
  <c r="AC86" i="67"/>
  <c r="AB86" i="67"/>
  <c r="AA86" i="67"/>
  <c r="Z86" i="67"/>
  <c r="Y86" i="67"/>
  <c r="X86" i="67"/>
  <c r="X88" i="67" s="1"/>
  <c r="X90" i="67" s="1"/>
  <c r="W86" i="67"/>
  <c r="V86" i="67"/>
  <c r="U86" i="67"/>
  <c r="T86" i="67"/>
  <c r="S86" i="67"/>
  <c r="R86" i="67"/>
  <c r="Q86" i="67"/>
  <c r="P86" i="67"/>
  <c r="P88" i="67" s="1"/>
  <c r="P90" i="67" s="1"/>
  <c r="O86" i="67"/>
  <c r="N86" i="67"/>
  <c r="M86" i="67"/>
  <c r="L86" i="67"/>
  <c r="K86" i="67"/>
  <c r="J86" i="67"/>
  <c r="I86" i="67"/>
  <c r="H86" i="67"/>
  <c r="H88" i="67" s="1"/>
  <c r="H90" i="67" s="1"/>
  <c r="G86" i="67"/>
  <c r="F86" i="67"/>
  <c r="D86" i="67"/>
  <c r="C86" i="67"/>
  <c r="B86" i="67"/>
  <c r="A86" i="67"/>
  <c r="E77" i="67"/>
  <c r="D77" i="67"/>
  <c r="C77" i="67"/>
  <c r="B77" i="67"/>
  <c r="A77" i="67"/>
  <c r="E76" i="67"/>
  <c r="B106" i="47" s="1"/>
  <c r="D76" i="67"/>
  <c r="C76" i="67"/>
  <c r="B76" i="67"/>
  <c r="A76" i="67"/>
  <c r="E75" i="67"/>
  <c r="D75" i="67"/>
  <c r="C75" i="67"/>
  <c r="B75" i="67"/>
  <c r="A75" i="67"/>
  <c r="E74" i="67"/>
  <c r="D74" i="67"/>
  <c r="C74" i="67"/>
  <c r="B74" i="67"/>
  <c r="A74" i="67"/>
  <c r="E73" i="67"/>
  <c r="D73" i="67"/>
  <c r="C73" i="67"/>
  <c r="B73" i="67"/>
  <c r="A73" i="67"/>
  <c r="E72" i="67"/>
  <c r="D72" i="67"/>
  <c r="C72" i="67"/>
  <c r="B72" i="67"/>
  <c r="A72" i="67"/>
  <c r="E71" i="67"/>
  <c r="D71" i="67"/>
  <c r="C71" i="67"/>
  <c r="B71" i="67"/>
  <c r="A71" i="67"/>
  <c r="E70" i="67"/>
  <c r="D70" i="67"/>
  <c r="C70" i="67"/>
  <c r="B70" i="67"/>
  <c r="A70" i="67"/>
  <c r="C69" i="67"/>
  <c r="A69" i="67"/>
  <c r="E68" i="67"/>
  <c r="D68" i="67"/>
  <c r="C68" i="67"/>
  <c r="B68" i="67"/>
  <c r="A68" i="67"/>
  <c r="E67" i="67"/>
  <c r="D67" i="67"/>
  <c r="C67" i="67"/>
  <c r="B67" i="67"/>
  <c r="A67" i="67"/>
  <c r="E66" i="67"/>
  <c r="D66" i="67"/>
  <c r="C66" i="67"/>
  <c r="B66" i="67"/>
  <c r="A66" i="67"/>
  <c r="E65" i="67"/>
  <c r="D65" i="67"/>
  <c r="C65" i="67"/>
  <c r="B65" i="67"/>
  <c r="A65" i="67"/>
  <c r="E64" i="67"/>
  <c r="D64" i="67"/>
  <c r="C64" i="67"/>
  <c r="B64" i="67"/>
  <c r="A64" i="67"/>
  <c r="E63" i="67"/>
  <c r="D63" i="67"/>
  <c r="C63" i="67"/>
  <c r="B63" i="67"/>
  <c r="A63" i="67"/>
  <c r="E62" i="67"/>
  <c r="D62" i="67"/>
  <c r="C62" i="67"/>
  <c r="B62" i="67"/>
  <c r="A62" i="67"/>
  <c r="E61" i="67"/>
  <c r="D61" i="67"/>
  <c r="C61" i="67"/>
  <c r="B61" i="67"/>
  <c r="A61" i="67"/>
  <c r="B69" i="46"/>
  <c r="B76" i="46"/>
  <c r="B77" i="46"/>
  <c r="A87" i="47"/>
  <c r="A88" i="47"/>
  <c r="A89" i="47"/>
  <c r="A91" i="47"/>
  <c r="A92" i="47"/>
  <c r="A93" i="47"/>
  <c r="C101" i="47"/>
  <c r="D101" i="47"/>
  <c r="C102" i="47"/>
  <c r="D102" i="47"/>
  <c r="C103" i="47"/>
  <c r="D103" i="47"/>
  <c r="C106" i="47"/>
  <c r="D106" i="47"/>
  <c r="C107" i="47"/>
  <c r="D107" i="47"/>
  <c r="C108" i="47"/>
  <c r="D108" i="47"/>
  <c r="K95" i="67" l="1"/>
  <c r="T88" i="67"/>
  <c r="AB88" i="67"/>
  <c r="H95" i="67"/>
  <c r="P95" i="67"/>
  <c r="X95" i="67"/>
  <c r="AF95" i="67"/>
  <c r="B80" i="67"/>
  <c r="B80" i="46" s="1"/>
  <c r="AG95" i="67"/>
  <c r="B102" i="47"/>
  <c r="AA95" i="67"/>
  <c r="I88" i="67"/>
  <c r="I89" i="67" s="1"/>
  <c r="Q88" i="67"/>
  <c r="Q89" i="67" s="1"/>
  <c r="Y88" i="67"/>
  <c r="Y89" i="67" s="1"/>
  <c r="AG88" i="67"/>
  <c r="AG89" i="67" s="1"/>
  <c r="AB100" i="67"/>
  <c r="I32" i="73"/>
  <c r="I13" i="73" s="1"/>
  <c r="I15" i="73"/>
  <c r="F23" i="73"/>
  <c r="F4" i="73" s="1"/>
  <c r="F6" i="73"/>
  <c r="I21" i="73"/>
  <c r="H2" i="73"/>
  <c r="G25" i="73"/>
  <c r="H74" i="73"/>
  <c r="K73" i="73"/>
  <c r="J34" i="73"/>
  <c r="L13" i="72"/>
  <c r="K15" i="72"/>
  <c r="K12" i="72" s="1"/>
  <c r="H100" i="67"/>
  <c r="P100" i="67"/>
  <c r="X100" i="67"/>
  <c r="AF100" i="67"/>
  <c r="K96" i="67"/>
  <c r="S96" i="67"/>
  <c r="AA96" i="67"/>
  <c r="AI96" i="67"/>
  <c r="L95" i="67"/>
  <c r="T95" i="67"/>
  <c r="AB95" i="67"/>
  <c r="J88" i="67"/>
  <c r="J89" i="67" s="1"/>
  <c r="R88" i="67"/>
  <c r="R89" i="67" s="1"/>
  <c r="Z88" i="67"/>
  <c r="Z89" i="67" s="1"/>
  <c r="AH88" i="67"/>
  <c r="AH89" i="67" s="1"/>
  <c r="M95" i="67"/>
  <c r="M96" i="67" s="1"/>
  <c r="U95" i="67"/>
  <c r="U96" i="67" s="1"/>
  <c r="AC95" i="67"/>
  <c r="AC96" i="67" s="1"/>
  <c r="L100" i="67"/>
  <c r="T100" i="67"/>
  <c r="T101" i="67" s="1"/>
  <c r="AB101" i="67"/>
  <c r="B108" i="47"/>
  <c r="B107" i="47" s="1"/>
  <c r="S88" i="67"/>
  <c r="S90" i="67" s="1"/>
  <c r="AI88" i="67"/>
  <c r="AI89" i="67" s="1"/>
  <c r="I90" i="67"/>
  <c r="Q90" i="67"/>
  <c r="M100" i="67"/>
  <c r="M101" i="67" s="1"/>
  <c r="U100" i="67"/>
  <c r="U101" i="67" s="1"/>
  <c r="AC100" i="67"/>
  <c r="B101" i="47"/>
  <c r="AH90" i="67"/>
  <c r="G95" i="67"/>
  <c r="G96" i="67" s="1"/>
  <c r="O95" i="67"/>
  <c r="O96" i="67" s="1"/>
  <c r="W95" i="67"/>
  <c r="W96" i="67" s="1"/>
  <c r="AE95" i="67"/>
  <c r="AE96" i="67" s="1"/>
  <c r="T90" i="67"/>
  <c r="AB90" i="67"/>
  <c r="K88" i="67"/>
  <c r="K90" i="67" s="1"/>
  <c r="H89" i="67"/>
  <c r="P89" i="67"/>
  <c r="X89" i="67"/>
  <c r="AF89" i="67"/>
  <c r="J95" i="67"/>
  <c r="J96" i="67" s="1"/>
  <c r="R95" i="67"/>
  <c r="R96" i="67" s="1"/>
  <c r="Z95" i="67"/>
  <c r="Z96" i="67" s="1"/>
  <c r="AH95" i="67"/>
  <c r="AH96" i="67" s="1"/>
  <c r="L96" i="67"/>
  <c r="T96" i="67"/>
  <c r="AB96" i="67"/>
  <c r="J100" i="67"/>
  <c r="J101" i="67" s="1"/>
  <c r="R100" i="67"/>
  <c r="R101" i="67" s="1"/>
  <c r="Z100" i="67"/>
  <c r="Z101" i="67" s="1"/>
  <c r="AH100" i="67"/>
  <c r="AH101" i="67" s="1"/>
  <c r="L101" i="67"/>
  <c r="K100" i="67"/>
  <c r="K101" i="67" s="1"/>
  <c r="S100" i="67"/>
  <c r="S101" i="67" s="1"/>
  <c r="AA100" i="67"/>
  <c r="AA101" i="67" s="1"/>
  <c r="AI100" i="67"/>
  <c r="AI101" i="67" s="1"/>
  <c r="AC101" i="67"/>
  <c r="AA88" i="67"/>
  <c r="AA90" i="67" s="1"/>
  <c r="M88" i="67"/>
  <c r="M90" i="67" s="1"/>
  <c r="U88" i="67"/>
  <c r="U89" i="67" s="1"/>
  <c r="AC88" i="67"/>
  <c r="AC90" i="67" s="1"/>
  <c r="S89" i="67"/>
  <c r="L88" i="67"/>
  <c r="L90" i="67" s="1"/>
  <c r="F88" i="67"/>
  <c r="F89" i="67" s="1"/>
  <c r="N88" i="67"/>
  <c r="N89" i="67" s="1"/>
  <c r="V88" i="67"/>
  <c r="V89" i="67" s="1"/>
  <c r="AD88" i="67"/>
  <c r="AD89" i="67" s="1"/>
  <c r="T89" i="67"/>
  <c r="AB89" i="67"/>
  <c r="H96" i="67"/>
  <c r="P96" i="67"/>
  <c r="X96" i="67"/>
  <c r="AF96" i="67"/>
  <c r="H101" i="67"/>
  <c r="P101" i="67"/>
  <c r="X101" i="67"/>
  <c r="AF101" i="67"/>
  <c r="G88" i="67"/>
  <c r="G90" i="67" s="1"/>
  <c r="O88" i="67"/>
  <c r="O90" i="67" s="1"/>
  <c r="W88" i="67"/>
  <c r="W90" i="67" s="1"/>
  <c r="AE88" i="67"/>
  <c r="AE90" i="67" s="1"/>
  <c r="I96" i="67"/>
  <c r="Q96" i="67"/>
  <c r="Y96" i="67"/>
  <c r="AG96" i="67"/>
  <c r="I101" i="67"/>
  <c r="Q101" i="67"/>
  <c r="Y101" i="67"/>
  <c r="AG101" i="67"/>
  <c r="B103" i="47"/>
  <c r="B97" i="47" s="1"/>
  <c r="I146" i="47"/>
  <c r="B3" i="62"/>
  <c r="B2" i="62"/>
  <c r="B3" i="63"/>
  <c r="B2" i="63"/>
  <c r="G2" i="63"/>
  <c r="G3" i="63"/>
  <c r="E2" i="63"/>
  <c r="E3" i="63"/>
  <c r="D2" i="63"/>
  <c r="D3" i="63"/>
  <c r="F1" i="63"/>
  <c r="F2" i="63"/>
  <c r="F3" i="63"/>
  <c r="B37" i="63"/>
  <c r="B36" i="63"/>
  <c r="F1" i="62"/>
  <c r="G1" i="62"/>
  <c r="F2" i="62"/>
  <c r="G2" i="62"/>
  <c r="F3" i="62"/>
  <c r="G3" i="62"/>
  <c r="E2" i="62"/>
  <c r="E3" i="62"/>
  <c r="D2" i="62"/>
  <c r="D3" i="62"/>
  <c r="C25" i="62"/>
  <c r="C26" i="62"/>
  <c r="B26" i="62"/>
  <c r="B25" i="62"/>
  <c r="F1" i="67"/>
  <c r="G1" i="67"/>
  <c r="G81" i="47" s="1"/>
  <c r="H1" i="67"/>
  <c r="H81" i="47" s="1"/>
  <c r="I1" i="67"/>
  <c r="I81" i="47" s="1"/>
  <c r="J1" i="67"/>
  <c r="J81" i="47" s="1"/>
  <c r="K1" i="67"/>
  <c r="K81" i="47" s="1"/>
  <c r="L1" i="67"/>
  <c r="L81" i="47" s="1"/>
  <c r="M1" i="67"/>
  <c r="M81" i="47" s="1"/>
  <c r="N1" i="67"/>
  <c r="N81" i="47" s="1"/>
  <c r="O1" i="67"/>
  <c r="O81" i="47" s="1"/>
  <c r="P1" i="67"/>
  <c r="P81" i="47" s="1"/>
  <c r="Q1" i="67"/>
  <c r="Q81" i="47" s="1"/>
  <c r="R1" i="67"/>
  <c r="R81" i="47" s="1"/>
  <c r="S1" i="67"/>
  <c r="S81" i="47" s="1"/>
  <c r="T1" i="67"/>
  <c r="T81" i="47" s="1"/>
  <c r="U1" i="67"/>
  <c r="U81" i="47" s="1"/>
  <c r="V1" i="67"/>
  <c r="V81" i="47" s="1"/>
  <c r="W1" i="67"/>
  <c r="W81" i="47" s="1"/>
  <c r="X1" i="67"/>
  <c r="X81" i="47" s="1"/>
  <c r="Y1" i="67"/>
  <c r="Y81" i="47" s="1"/>
  <c r="Z1" i="67"/>
  <c r="Z81" i="47" s="1"/>
  <c r="AA1" i="67"/>
  <c r="AA81" i="47" s="1"/>
  <c r="AB1" i="67"/>
  <c r="AB81" i="47" s="1"/>
  <c r="AC1" i="67"/>
  <c r="AC81" i="47" s="1"/>
  <c r="AD1" i="67"/>
  <c r="AD81" i="47" s="1"/>
  <c r="AE1" i="67"/>
  <c r="AE81" i="47" s="1"/>
  <c r="AF1" i="67"/>
  <c r="AF81" i="47" s="1"/>
  <c r="AG1" i="67"/>
  <c r="AG81" i="47" s="1"/>
  <c r="AH1" i="67"/>
  <c r="AH81" i="47" s="1"/>
  <c r="AI1" i="67"/>
  <c r="AI81" i="47" s="1"/>
  <c r="F2" i="67"/>
  <c r="G2" i="67"/>
  <c r="G88" i="47" s="1"/>
  <c r="H2" i="67"/>
  <c r="H88" i="47" s="1"/>
  <c r="I2" i="67"/>
  <c r="I88" i="47" s="1"/>
  <c r="J2" i="67"/>
  <c r="J88" i="47" s="1"/>
  <c r="K2" i="67"/>
  <c r="K88" i="47" s="1"/>
  <c r="L2" i="67"/>
  <c r="L88" i="47" s="1"/>
  <c r="M2" i="67"/>
  <c r="M88" i="47" s="1"/>
  <c r="N2" i="67"/>
  <c r="O2" i="67"/>
  <c r="O88" i="47" s="1"/>
  <c r="P2" i="67"/>
  <c r="P88" i="47" s="1"/>
  <c r="Q2" i="67"/>
  <c r="Q88" i="47" s="1"/>
  <c r="R2" i="67"/>
  <c r="R88" i="47" s="1"/>
  <c r="S2" i="67"/>
  <c r="S88" i="47" s="1"/>
  <c r="T2" i="67"/>
  <c r="T88" i="47" s="1"/>
  <c r="U2" i="67"/>
  <c r="U88" i="47" s="1"/>
  <c r="V2" i="67"/>
  <c r="W2" i="67"/>
  <c r="W88" i="47" s="1"/>
  <c r="X2" i="67"/>
  <c r="X88" i="47" s="1"/>
  <c r="Y2" i="67"/>
  <c r="Y88" i="47" s="1"/>
  <c r="Z2" i="67"/>
  <c r="Z88" i="47" s="1"/>
  <c r="AA2" i="67"/>
  <c r="AA88" i="47" s="1"/>
  <c r="AB2" i="67"/>
  <c r="AB88" i="47" s="1"/>
  <c r="AC2" i="67"/>
  <c r="AD2" i="67"/>
  <c r="AE2" i="67"/>
  <c r="AE88" i="47" s="1"/>
  <c r="AF2" i="67"/>
  <c r="AF88" i="47" s="1"/>
  <c r="AG2" i="67"/>
  <c r="AG88" i="47" s="1"/>
  <c r="AH2" i="67"/>
  <c r="AH88" i="47" s="1"/>
  <c r="AI2" i="67"/>
  <c r="AI88" i="47" s="1"/>
  <c r="G3" i="67"/>
  <c r="G89" i="47" s="1"/>
  <c r="M3" i="67"/>
  <c r="M89" i="47" s="1"/>
  <c r="O3" i="67"/>
  <c r="O89" i="47" s="1"/>
  <c r="S3" i="67"/>
  <c r="S89" i="47" s="1"/>
  <c r="W3" i="67"/>
  <c r="W89" i="47" s="1"/>
  <c r="AE3" i="67"/>
  <c r="AE89" i="47" s="1"/>
  <c r="AF3" i="67"/>
  <c r="AF89" i="47" s="1"/>
  <c r="F6" i="67"/>
  <c r="G6" i="67"/>
  <c r="G92" i="47" s="1"/>
  <c r="H6" i="67"/>
  <c r="I6" i="67"/>
  <c r="I92" i="47" s="1"/>
  <c r="J6" i="67"/>
  <c r="J92" i="47" s="1"/>
  <c r="K6" i="67"/>
  <c r="K92" i="47" s="1"/>
  <c r="L6" i="67"/>
  <c r="L92" i="47" s="1"/>
  <c r="M6" i="67"/>
  <c r="M92" i="47" s="1"/>
  <c r="N6" i="67"/>
  <c r="N92" i="47" s="1"/>
  <c r="O6" i="67"/>
  <c r="P6" i="67"/>
  <c r="Q6" i="67"/>
  <c r="Q92" i="47" s="1"/>
  <c r="R6" i="67"/>
  <c r="R92" i="47" s="1"/>
  <c r="S6" i="67"/>
  <c r="S92" i="47" s="1"/>
  <c r="T6" i="67"/>
  <c r="T92" i="47" s="1"/>
  <c r="U6" i="67"/>
  <c r="U92" i="47" s="1"/>
  <c r="V6" i="67"/>
  <c r="W6" i="67"/>
  <c r="X6" i="67"/>
  <c r="Y6" i="67"/>
  <c r="Y92" i="47" s="1"/>
  <c r="Z6" i="67"/>
  <c r="AA6" i="67"/>
  <c r="AA92" i="47" s="1"/>
  <c r="AB6" i="67"/>
  <c r="AB92" i="47" s="1"/>
  <c r="AC6" i="67"/>
  <c r="AC92" i="47" s="1"/>
  <c r="AD6" i="67"/>
  <c r="AE6" i="67"/>
  <c r="AF6" i="67"/>
  <c r="AG6" i="67"/>
  <c r="AG92" i="47" s="1"/>
  <c r="AH6" i="67"/>
  <c r="AH92" i="47" s="1"/>
  <c r="AI6" i="67"/>
  <c r="AI92" i="47" s="1"/>
  <c r="F7" i="67"/>
  <c r="F93" i="47" s="1"/>
  <c r="E93" i="47" s="1"/>
  <c r="L7" i="67"/>
  <c r="L93" i="47" s="1"/>
  <c r="B7" i="63"/>
  <c r="C7" i="63"/>
  <c r="D7" i="63"/>
  <c r="B11" i="63"/>
  <c r="B12" i="63"/>
  <c r="B15" i="63"/>
  <c r="C15" i="63"/>
  <c r="B19" i="63"/>
  <c r="B20" i="63"/>
  <c r="B25" i="63"/>
  <c r="B27" i="63" s="1"/>
  <c r="B28" i="63"/>
  <c r="B8" i="62"/>
  <c r="C8" i="62"/>
  <c r="D8" i="62"/>
  <c r="E8" i="62"/>
  <c r="G8" i="62"/>
  <c r="G9" i="62"/>
  <c r="G10" i="62"/>
  <c r="B12" i="62"/>
  <c r="B13" i="62"/>
  <c r="B16" i="62"/>
  <c r="C16" i="62"/>
  <c r="B20" i="62"/>
  <c r="B21" i="62"/>
  <c r="C9" i="61"/>
  <c r="B9" i="61" s="1"/>
  <c r="B2" i="61" s="1"/>
  <c r="D9" i="61"/>
  <c r="C10" i="61"/>
  <c r="D10" i="61"/>
  <c r="B10" i="61" s="1"/>
  <c r="B3" i="61" s="1"/>
  <c r="B23" i="61"/>
  <c r="B10" i="60"/>
  <c r="C10" i="60"/>
  <c r="D10" i="60"/>
  <c r="B14" i="60"/>
  <c r="C14" i="60"/>
  <c r="D14" i="60"/>
  <c r="B15" i="60"/>
  <c r="C2" i="60" s="1"/>
  <c r="C15" i="60"/>
  <c r="D15" i="60"/>
  <c r="B18" i="60"/>
  <c r="B22" i="60"/>
  <c r="B3" i="60" s="1"/>
  <c r="B23" i="60"/>
  <c r="C3" i="60" s="1"/>
  <c r="V90" i="67" l="1"/>
  <c r="AI90" i="67"/>
  <c r="B81" i="67"/>
  <c r="B81" i="46" s="1"/>
  <c r="B100" i="45" s="1"/>
  <c r="AI146" i="47"/>
  <c r="L3" i="67"/>
  <c r="L89" i="47" s="1"/>
  <c r="K3" i="67"/>
  <c r="K89" i="47" s="1"/>
  <c r="AD90" i="67"/>
  <c r="AB7" i="67"/>
  <c r="AB93" i="47" s="1"/>
  <c r="AC7" i="67"/>
  <c r="AC93" i="47" s="1"/>
  <c r="U7" i="67"/>
  <c r="U93" i="47" s="1"/>
  <c r="M7" i="67"/>
  <c r="M93" i="47" s="1"/>
  <c r="AG146" i="47"/>
  <c r="S146" i="47"/>
  <c r="P146" i="47"/>
  <c r="AH146" i="47"/>
  <c r="AG90" i="67"/>
  <c r="M89" i="67"/>
  <c r="Y90" i="67"/>
  <c r="G23" i="73"/>
  <c r="G4" i="73" s="1"/>
  <c r="G6" i="73"/>
  <c r="J21" i="73"/>
  <c r="I2" i="73"/>
  <c r="J32" i="73"/>
  <c r="J13" i="73" s="1"/>
  <c r="J15" i="73"/>
  <c r="L73" i="73"/>
  <c r="L34" i="73" s="1"/>
  <c r="L15" i="73" s="1"/>
  <c r="K34" i="73"/>
  <c r="H25" i="73"/>
  <c r="I74" i="73"/>
  <c r="C20" i="72"/>
  <c r="L15" i="72"/>
  <c r="C98" i="47"/>
  <c r="B98" i="47"/>
  <c r="Y7" i="67"/>
  <c r="Y93" i="47" s="1"/>
  <c r="AB3" i="67"/>
  <c r="AB89" i="47" s="1"/>
  <c r="Y146" i="47"/>
  <c r="W89" i="67"/>
  <c r="Z90" i="67"/>
  <c r="N7" i="67"/>
  <c r="N93" i="47" s="1"/>
  <c r="U3" i="67"/>
  <c r="U89" i="47" s="1"/>
  <c r="R90" i="67"/>
  <c r="R146" i="47" s="1"/>
  <c r="T3" i="67"/>
  <c r="T89" i="47" s="1"/>
  <c r="AF146" i="47"/>
  <c r="J90" i="67"/>
  <c r="J146" i="47" s="1"/>
  <c r="X146" i="47"/>
  <c r="AB146" i="47"/>
  <c r="G7" i="67"/>
  <c r="G93" i="47" s="1"/>
  <c r="AG3" i="67"/>
  <c r="AG89" i="47" s="1"/>
  <c r="Q146" i="47"/>
  <c r="M146" i="47"/>
  <c r="K89" i="67"/>
  <c r="K146" i="47" s="1"/>
  <c r="E89" i="67"/>
  <c r="Z146" i="47"/>
  <c r="AA7" i="67"/>
  <c r="AA93" i="47" s="1"/>
  <c r="AF7" i="67"/>
  <c r="AF93" i="47" s="1"/>
  <c r="AF92" i="47"/>
  <c r="P7" i="67"/>
  <c r="P93" i="47" s="1"/>
  <c r="P92" i="47"/>
  <c r="H7" i="67"/>
  <c r="H93" i="47" s="1"/>
  <c r="H92" i="47"/>
  <c r="J3" i="67"/>
  <c r="J89" i="47" s="1"/>
  <c r="AC89" i="67"/>
  <c r="AC146" i="47" s="1"/>
  <c r="N90" i="67"/>
  <c r="N146" i="47" s="1"/>
  <c r="K7" i="67"/>
  <c r="K93" i="47" s="1"/>
  <c r="X7" i="67"/>
  <c r="X93" i="47" s="1"/>
  <c r="X92" i="47"/>
  <c r="AI7" i="67"/>
  <c r="AI93" i="47" s="1"/>
  <c r="T7" i="67"/>
  <c r="T93" i="47" s="1"/>
  <c r="J7" i="67"/>
  <c r="J93" i="47" s="1"/>
  <c r="AE7" i="67"/>
  <c r="AE93" i="47" s="1"/>
  <c r="AE92" i="47"/>
  <c r="W7" i="67"/>
  <c r="W93" i="47" s="1"/>
  <c r="W92" i="47"/>
  <c r="O7" i="67"/>
  <c r="O93" i="47" s="1"/>
  <c r="O92" i="47"/>
  <c r="AA3" i="67"/>
  <c r="AA89" i="47" s="1"/>
  <c r="R3" i="67"/>
  <c r="R89" i="47" s="1"/>
  <c r="I3" i="67"/>
  <c r="I89" i="47" s="1"/>
  <c r="AD3" i="67"/>
  <c r="AD89" i="47" s="1"/>
  <c r="AD88" i="47"/>
  <c r="V3" i="67"/>
  <c r="V89" i="47" s="1"/>
  <c r="V88" i="47"/>
  <c r="N3" i="67"/>
  <c r="N89" i="47" s="1"/>
  <c r="N88" i="47"/>
  <c r="B2" i="67"/>
  <c r="F88" i="47"/>
  <c r="E88" i="47" s="1"/>
  <c r="F90" i="67"/>
  <c r="E90" i="67" s="1"/>
  <c r="D90" i="67" s="1"/>
  <c r="C90" i="67" s="1"/>
  <c r="B90" i="67" s="1"/>
  <c r="Z7" i="67"/>
  <c r="Z93" i="47" s="1"/>
  <c r="Z92" i="47"/>
  <c r="L89" i="67"/>
  <c r="L146" i="47" s="1"/>
  <c r="AH7" i="67"/>
  <c r="AH93" i="47" s="1"/>
  <c r="AH85" i="47" s="1"/>
  <c r="S7" i="67"/>
  <c r="S93" i="47" s="1"/>
  <c r="I7" i="67"/>
  <c r="I93" i="47" s="1"/>
  <c r="AD7" i="67"/>
  <c r="AD93" i="47" s="1"/>
  <c r="AD92" i="47"/>
  <c r="V7" i="67"/>
  <c r="V93" i="47" s="1"/>
  <c r="V92" i="47"/>
  <c r="B6" i="67"/>
  <c r="F92" i="47"/>
  <c r="E92" i="47" s="1"/>
  <c r="Z3" i="67"/>
  <c r="Z89" i="47" s="1"/>
  <c r="Q3" i="67"/>
  <c r="Q89" i="47" s="1"/>
  <c r="H3" i="67"/>
  <c r="H89" i="47" s="1"/>
  <c r="AC3" i="67"/>
  <c r="AC89" i="47" s="1"/>
  <c r="AC88" i="47"/>
  <c r="T146" i="47"/>
  <c r="G89" i="67"/>
  <c r="AG7" i="67"/>
  <c r="AG93" i="47" s="1"/>
  <c r="R7" i="67"/>
  <c r="R93" i="47" s="1"/>
  <c r="AI3" i="67"/>
  <c r="AI89" i="47" s="1"/>
  <c r="Y3" i="67"/>
  <c r="Y89" i="47" s="1"/>
  <c r="P3" i="67"/>
  <c r="P89" i="47" s="1"/>
  <c r="AE89" i="67"/>
  <c r="AE146" i="47" s="1"/>
  <c r="U90" i="67"/>
  <c r="U146" i="47" s="1"/>
  <c r="H146" i="47"/>
  <c r="Q7" i="67"/>
  <c r="Q93" i="47" s="1"/>
  <c r="AH3" i="67"/>
  <c r="AH89" i="47" s="1"/>
  <c r="X3" i="67"/>
  <c r="X89" i="47" s="1"/>
  <c r="AA89" i="67"/>
  <c r="AA146" i="47" s="1"/>
  <c r="O89" i="67"/>
  <c r="O146" i="47" s="1"/>
  <c r="Y85" i="47"/>
  <c r="V146" i="47"/>
  <c r="G146" i="47"/>
  <c r="F146" i="47" s="1"/>
  <c r="C97" i="47"/>
  <c r="R84" i="47" s="1"/>
  <c r="AC85" i="47"/>
  <c r="M85" i="47"/>
  <c r="T85" i="47"/>
  <c r="AD146" i="47"/>
  <c r="AI85" i="47"/>
  <c r="J85" i="47"/>
  <c r="W146" i="47"/>
  <c r="K77" i="47"/>
  <c r="B2" i="60"/>
  <c r="F3" i="67"/>
  <c r="J68" i="47"/>
  <c r="F68" i="47"/>
  <c r="B66" i="45"/>
  <c r="B58" i="45"/>
  <c r="C58" i="45" s="1"/>
  <c r="A42" i="45"/>
  <c r="A43" i="45"/>
  <c r="A44" i="45"/>
  <c r="A45" i="45"/>
  <c r="A46" i="45"/>
  <c r="A47" i="45"/>
  <c r="A48" i="45"/>
  <c r="A49" i="45"/>
  <c r="A50" i="45"/>
  <c r="A41" i="45"/>
  <c r="B42" i="45"/>
  <c r="C42" i="45" s="1"/>
  <c r="B43" i="45"/>
  <c r="B44" i="45"/>
  <c r="B45" i="45"/>
  <c r="B46" i="45"/>
  <c r="B47" i="45"/>
  <c r="B48" i="45"/>
  <c r="B49" i="45"/>
  <c r="B50" i="45"/>
  <c r="B41" i="45"/>
  <c r="C41" i="45" s="1"/>
  <c r="D41" i="45" s="1"/>
  <c r="AA85" i="47" l="1"/>
  <c r="H85" i="47"/>
  <c r="X85" i="47"/>
  <c r="P85" i="47"/>
  <c r="Q85" i="47"/>
  <c r="K32" i="73"/>
  <c r="K13" i="73" s="1"/>
  <c r="K15" i="73"/>
  <c r="K21" i="73"/>
  <c r="J2" i="73"/>
  <c r="H23" i="73"/>
  <c r="H4" i="73" s="1"/>
  <c r="H6" i="73"/>
  <c r="I25" i="73"/>
  <c r="J74" i="73"/>
  <c r="L32" i="73"/>
  <c r="L13" i="73" s="1"/>
  <c r="M34" i="73"/>
  <c r="M15" i="73" s="1"/>
  <c r="L16" i="72"/>
  <c r="M17" i="72" s="1"/>
  <c r="N17" i="72" s="1"/>
  <c r="O17" i="72" s="1"/>
  <c r="P17" i="72" s="1"/>
  <c r="Q17" i="72" s="1"/>
  <c r="R17" i="72" s="1"/>
  <c r="S17" i="72" s="1"/>
  <c r="T17" i="72" s="1"/>
  <c r="U17" i="72" s="1"/>
  <c r="V17" i="72" s="1"/>
  <c r="W17" i="72" s="1"/>
  <c r="X17" i="72" s="1"/>
  <c r="Y17" i="72" s="1"/>
  <c r="Z17" i="72" s="1"/>
  <c r="AA17" i="72" s="1"/>
  <c r="AB17" i="72" s="1"/>
  <c r="AC17" i="72" s="1"/>
  <c r="AD17" i="72" s="1"/>
  <c r="AE17" i="72" s="1"/>
  <c r="AF17" i="72" s="1"/>
  <c r="L12" i="72"/>
  <c r="R85" i="47"/>
  <c r="R82" i="47" s="1"/>
  <c r="AB85" i="47"/>
  <c r="O85" i="47"/>
  <c r="L85" i="47"/>
  <c r="S85" i="47"/>
  <c r="G85" i="47"/>
  <c r="F85" i="47" s="1"/>
  <c r="E85" i="47" s="1"/>
  <c r="N85" i="47"/>
  <c r="U85" i="47"/>
  <c r="AG85" i="47"/>
  <c r="AF85" i="47"/>
  <c r="V85" i="47"/>
  <c r="Z85" i="47"/>
  <c r="AD84" i="47"/>
  <c r="W85" i="47"/>
  <c r="K85" i="47"/>
  <c r="AD85" i="47"/>
  <c r="AE85" i="47"/>
  <c r="I85" i="47"/>
  <c r="B3" i="67"/>
  <c r="F89" i="47"/>
  <c r="E89" i="47" s="1"/>
  <c r="N84" i="47"/>
  <c r="B7" i="67"/>
  <c r="AG84" i="47"/>
  <c r="AG82" i="47" s="1"/>
  <c r="D89" i="67"/>
  <c r="L84" i="47"/>
  <c r="H84" i="47"/>
  <c r="H82" i="47" s="1"/>
  <c r="Z84" i="47"/>
  <c r="Z82" i="47" s="1"/>
  <c r="AC84" i="47"/>
  <c r="AC82" i="47" s="1"/>
  <c r="AI84" i="47"/>
  <c r="AI82" i="47" s="1"/>
  <c r="J84" i="47"/>
  <c r="J82" i="47" s="1"/>
  <c r="M84" i="47"/>
  <c r="M82" i="47" s="1"/>
  <c r="O84" i="47"/>
  <c r="AE84" i="47"/>
  <c r="Y84" i="47"/>
  <c r="Y82" i="47" s="1"/>
  <c r="K84" i="47"/>
  <c r="T84" i="47"/>
  <c r="T82" i="47" s="1"/>
  <c r="P84" i="47"/>
  <c r="P82" i="47" s="1"/>
  <c r="Q84" i="47"/>
  <c r="Q82" i="47" s="1"/>
  <c r="U84" i="47"/>
  <c r="AA84" i="47"/>
  <c r="AA82" i="47" s="1"/>
  <c r="AF84" i="47"/>
  <c r="AF82" i="47" s="1"/>
  <c r="I84" i="47"/>
  <c r="I82" i="47" s="1"/>
  <c r="G84" i="47"/>
  <c r="V84" i="47"/>
  <c r="V82" i="47" s="1"/>
  <c r="AB84" i="47"/>
  <c r="AB82" i="47" s="1"/>
  <c r="AH84" i="47"/>
  <c r="AH82" i="47" s="1"/>
  <c r="S84" i="47"/>
  <c r="S82" i="47" s="1"/>
  <c r="W84" i="47"/>
  <c r="X84" i="47"/>
  <c r="X82" i="47" s="1"/>
  <c r="AG77" i="47"/>
  <c r="M77" i="47"/>
  <c r="S77" i="47"/>
  <c r="AE77" i="47"/>
  <c r="T77" i="47"/>
  <c r="W77" i="47"/>
  <c r="L77" i="47"/>
  <c r="G77" i="47"/>
  <c r="AH77" i="47"/>
  <c r="AD77" i="47"/>
  <c r="H77" i="47"/>
  <c r="E77" i="47"/>
  <c r="D77" i="47" s="1"/>
  <c r="C77" i="47" s="1"/>
  <c r="B77" i="47" s="1"/>
  <c r="AB77" i="47"/>
  <c r="Z77" i="47"/>
  <c r="AA77" i="47"/>
  <c r="AC77" i="47"/>
  <c r="I77" i="47"/>
  <c r="P77" i="47"/>
  <c r="X77" i="47"/>
  <c r="AF77" i="47"/>
  <c r="O77" i="47"/>
  <c r="J77" i="47"/>
  <c r="R77" i="47"/>
  <c r="U77" i="47"/>
  <c r="Q77" i="47"/>
  <c r="Y77" i="47"/>
  <c r="F77" i="47"/>
  <c r="N77" i="47"/>
  <c r="V77" i="47"/>
  <c r="D58" i="45"/>
  <c r="B51" i="45"/>
  <c r="L82" i="47" l="1"/>
  <c r="O82" i="47"/>
  <c r="AE82" i="47"/>
  <c r="B62" i="45"/>
  <c r="B9" i="44"/>
  <c r="I23" i="73"/>
  <c r="I4" i="73" s="1"/>
  <c r="I6" i="73"/>
  <c r="L21" i="73"/>
  <c r="K2" i="73"/>
  <c r="M32" i="73"/>
  <c r="M13" i="73" s="1"/>
  <c r="N34" i="73"/>
  <c r="N15" i="73" s="1"/>
  <c r="K74" i="73"/>
  <c r="J25" i="73"/>
  <c r="N82" i="47"/>
  <c r="AD82" i="47"/>
  <c r="K82" i="47"/>
  <c r="W82" i="47"/>
  <c r="U82" i="47"/>
  <c r="G82" i="47"/>
  <c r="F82" i="47" s="1"/>
  <c r="E82" i="47" s="1"/>
  <c r="F84" i="47"/>
  <c r="E84" i="47" s="1"/>
  <c r="C89" i="67"/>
  <c r="I70" i="47"/>
  <c r="S70" i="47"/>
  <c r="H70" i="47"/>
  <c r="E9" i="44" l="1"/>
  <c r="M9" i="44"/>
  <c r="U9" i="44"/>
  <c r="AC9" i="44"/>
  <c r="F9" i="44"/>
  <c r="N9" i="44"/>
  <c r="V9" i="44"/>
  <c r="AD9" i="44"/>
  <c r="G9" i="44"/>
  <c r="O9" i="44"/>
  <c r="W9" i="44"/>
  <c r="AE9" i="44"/>
  <c r="H9" i="44"/>
  <c r="P9" i="44"/>
  <c r="X9" i="44"/>
  <c r="AF9" i="44"/>
  <c r="I9" i="44"/>
  <c r="Q9" i="44"/>
  <c r="Y9" i="44"/>
  <c r="AG9" i="44"/>
  <c r="J9" i="44"/>
  <c r="R9" i="44"/>
  <c r="Z9" i="44"/>
  <c r="AH9" i="44"/>
  <c r="K9" i="44"/>
  <c r="S9" i="44"/>
  <c r="AA9" i="44"/>
  <c r="AI9" i="44"/>
  <c r="D9" i="44"/>
  <c r="L9" i="44"/>
  <c r="T9" i="44"/>
  <c r="AB9" i="44"/>
  <c r="C9" i="44"/>
  <c r="J23" i="73"/>
  <c r="J4" i="73" s="1"/>
  <c r="J6" i="73"/>
  <c r="M21" i="73"/>
  <c r="L2" i="73"/>
  <c r="O34" i="73"/>
  <c r="O15" i="73" s="1"/>
  <c r="N32" i="73"/>
  <c r="N13" i="73" s="1"/>
  <c r="L74" i="73"/>
  <c r="L25" i="73" s="1"/>
  <c r="L6" i="73" s="1"/>
  <c r="K25" i="73"/>
  <c r="B89" i="67"/>
  <c r="O70" i="47"/>
  <c r="AH70" i="47"/>
  <c r="AD70" i="47"/>
  <c r="Q70" i="47"/>
  <c r="Z70" i="47"/>
  <c r="AE70" i="47"/>
  <c r="K70" i="47"/>
  <c r="AF70" i="47"/>
  <c r="AB70" i="47"/>
  <c r="R70" i="47"/>
  <c r="L70" i="47"/>
  <c r="T70" i="47"/>
  <c r="W70" i="47"/>
  <c r="AC70" i="47"/>
  <c r="P70" i="47"/>
  <c r="AA70" i="47"/>
  <c r="M70" i="47"/>
  <c r="N70" i="47"/>
  <c r="X70" i="47"/>
  <c r="AG70" i="47"/>
  <c r="AI70" i="47"/>
  <c r="J70" i="47"/>
  <c r="U70" i="47"/>
  <c r="Y70" i="47"/>
  <c r="V70" i="47"/>
  <c r="AI77" i="47"/>
  <c r="B78" i="47"/>
  <c r="N21" i="73" l="1"/>
  <c r="M2" i="73"/>
  <c r="K23" i="73"/>
  <c r="K4" i="73" s="1"/>
  <c r="K6" i="73"/>
  <c r="L23" i="73"/>
  <c r="L4" i="73" s="1"/>
  <c r="M25" i="73"/>
  <c r="M6" i="73" s="1"/>
  <c r="P34" i="73"/>
  <c r="P15" i="73" s="1"/>
  <c r="O32" i="73"/>
  <c r="O13" i="73" s="1"/>
  <c r="G70" i="47"/>
  <c r="O21" i="73" l="1"/>
  <c r="N2" i="73"/>
  <c r="Q34" i="73"/>
  <c r="Q15" i="73" s="1"/>
  <c r="P32" i="73"/>
  <c r="P13" i="73" s="1"/>
  <c r="M23" i="73"/>
  <c r="M4" i="73" s="1"/>
  <c r="N25" i="73"/>
  <c r="N6" i="73" s="1"/>
  <c r="F70" i="47"/>
  <c r="E70" i="47"/>
  <c r="D70" i="47" s="1"/>
  <c r="C70" i="47" s="1"/>
  <c r="B70" i="47" s="1"/>
  <c r="B74" i="47" s="1"/>
  <c r="B73" i="47" s="1"/>
  <c r="P21" i="73" l="1"/>
  <c r="O2" i="73"/>
  <c r="N23" i="73"/>
  <c r="N4" i="73" s="1"/>
  <c r="O25" i="73"/>
  <c r="O6" i="73" s="1"/>
  <c r="R34" i="73"/>
  <c r="R15" i="73" s="1"/>
  <c r="Q32" i="73"/>
  <c r="Q13" i="73" s="1"/>
  <c r="C19" i="46"/>
  <c r="B19" i="46"/>
  <c r="Q21" i="73" l="1"/>
  <c r="P2" i="73"/>
  <c r="S34" i="73"/>
  <c r="S15" i="73" s="1"/>
  <c r="R32" i="73"/>
  <c r="R13" i="73" s="1"/>
  <c r="P25" i="73"/>
  <c r="P6" i="73" s="1"/>
  <c r="O23" i="73"/>
  <c r="O4" i="73" s="1"/>
  <c r="R21" i="73" l="1"/>
  <c r="Q2" i="73"/>
  <c r="P23" i="73"/>
  <c r="P4" i="73" s="1"/>
  <c r="Q25" i="73"/>
  <c r="Q6" i="73" s="1"/>
  <c r="T34" i="73"/>
  <c r="T15" i="73" s="1"/>
  <c r="S32" i="73"/>
  <c r="S13" i="73" s="1"/>
  <c r="E36" i="34"/>
  <c r="S21" i="73" l="1"/>
  <c r="R2" i="73"/>
  <c r="U34" i="73"/>
  <c r="U15" i="73" s="1"/>
  <c r="T32" i="73"/>
  <c r="T13" i="73" s="1"/>
  <c r="R25" i="73"/>
  <c r="R6" i="73" s="1"/>
  <c r="Q23" i="73"/>
  <c r="Q4" i="73" s="1"/>
  <c r="G68" i="47"/>
  <c r="H68" i="47"/>
  <c r="I68" i="47"/>
  <c r="K68" i="47"/>
  <c r="L68" i="47"/>
  <c r="M68" i="47"/>
  <c r="N68" i="47"/>
  <c r="O68" i="47"/>
  <c r="P68" i="47"/>
  <c r="Q68" i="47"/>
  <c r="R68" i="47"/>
  <c r="S68" i="47"/>
  <c r="T68" i="47"/>
  <c r="U68" i="47"/>
  <c r="V68" i="47"/>
  <c r="W68" i="47"/>
  <c r="X68" i="47"/>
  <c r="Y68" i="47"/>
  <c r="Z68" i="47"/>
  <c r="AA68" i="47"/>
  <c r="AB68" i="47"/>
  <c r="AC68" i="47"/>
  <c r="AD68" i="47"/>
  <c r="AE68" i="47"/>
  <c r="AF68" i="47"/>
  <c r="AG68" i="47"/>
  <c r="AH68" i="47"/>
  <c r="AI68" i="47"/>
  <c r="E68" i="47"/>
  <c r="P67" i="47"/>
  <c r="Q67" i="47" s="1"/>
  <c r="R67" i="47" s="1"/>
  <c r="S67" i="47" s="1"/>
  <c r="T67" i="47" s="1"/>
  <c r="U67" i="47" s="1"/>
  <c r="V67" i="47" s="1"/>
  <c r="W67" i="47" s="1"/>
  <c r="X67" i="47" s="1"/>
  <c r="Y67" i="47" s="1"/>
  <c r="Z67" i="47" s="1"/>
  <c r="AA67" i="47" s="1"/>
  <c r="AB67" i="47" s="1"/>
  <c r="AC67" i="47" s="1"/>
  <c r="AD67" i="47" s="1"/>
  <c r="AE67" i="47" s="1"/>
  <c r="AF67" i="47" s="1"/>
  <c r="AG67" i="47" s="1"/>
  <c r="AH67" i="47" s="1"/>
  <c r="AI67" i="47" s="1"/>
  <c r="C42" i="47"/>
  <c r="C43" i="47"/>
  <c r="C44" i="47"/>
  <c r="C45" i="47"/>
  <c r="C46" i="47"/>
  <c r="C47" i="47"/>
  <c r="C48" i="47"/>
  <c r="C49" i="47"/>
  <c r="C50" i="47"/>
  <c r="C51" i="47"/>
  <c r="C52" i="47"/>
  <c r="C53" i="47"/>
  <c r="C54" i="47"/>
  <c r="C55" i="47"/>
  <c r="C56" i="47"/>
  <c r="C57" i="47"/>
  <c r="C58" i="47"/>
  <c r="C59" i="47"/>
  <c r="C60" i="47"/>
  <c r="C61" i="47"/>
  <c r="C31" i="47"/>
  <c r="C32" i="47"/>
  <c r="C33" i="47"/>
  <c r="C34" i="47"/>
  <c r="C35" i="47"/>
  <c r="C36" i="47"/>
  <c r="C37" i="47"/>
  <c r="C38" i="47"/>
  <c r="C39" i="47"/>
  <c r="C40" i="47"/>
  <c r="C41" i="47"/>
  <c r="C30" i="47"/>
  <c r="T21" i="73" l="1"/>
  <c r="S2" i="73"/>
  <c r="S25" i="73"/>
  <c r="S6" i="73" s="1"/>
  <c r="R23" i="73"/>
  <c r="R4" i="73" s="1"/>
  <c r="V34" i="73"/>
  <c r="V15" i="73" s="1"/>
  <c r="U32" i="73"/>
  <c r="U13" i="73" s="1"/>
  <c r="C85" i="45"/>
  <c r="D85" i="45" s="1"/>
  <c r="E85" i="45" s="1"/>
  <c r="F85" i="45" s="1"/>
  <c r="G85" i="45" s="1"/>
  <c r="H85" i="45" s="1"/>
  <c r="I85" i="45" s="1"/>
  <c r="U21" i="73" l="1"/>
  <c r="T2" i="73"/>
  <c r="W34" i="73"/>
  <c r="W15" i="73" s="1"/>
  <c r="V32" i="73"/>
  <c r="V13" i="73" s="1"/>
  <c r="T25" i="73"/>
  <c r="T6" i="73" s="1"/>
  <c r="S23" i="73"/>
  <c r="S4" i="73" s="1"/>
  <c r="B24" i="46"/>
  <c r="C34" i="46"/>
  <c r="B34" i="46"/>
  <c r="C31" i="46"/>
  <c r="E19" i="46"/>
  <c r="D19" i="46"/>
  <c r="B33" i="46"/>
  <c r="D15" i="46"/>
  <c r="E15" i="46" s="1"/>
  <c r="C15" i="46"/>
  <c r="E1" i="46"/>
  <c r="F1" i="46" s="1"/>
  <c r="G1" i="46" s="1"/>
  <c r="H1" i="46" s="1"/>
  <c r="I1" i="46" s="1"/>
  <c r="J1" i="46" s="1"/>
  <c r="K1" i="46" s="1"/>
  <c r="L1" i="46" s="1"/>
  <c r="M1" i="46" s="1"/>
  <c r="N1" i="46" s="1"/>
  <c r="O1" i="46" s="1"/>
  <c r="P1" i="46" s="1"/>
  <c r="Q1" i="46" s="1"/>
  <c r="R1" i="46" s="1"/>
  <c r="S1" i="46" s="1"/>
  <c r="T1" i="46" s="1"/>
  <c r="U1" i="46" s="1"/>
  <c r="V1" i="46" s="1"/>
  <c r="W1" i="46" s="1"/>
  <c r="X1" i="46" s="1"/>
  <c r="Y1" i="46" s="1"/>
  <c r="Z1" i="46" s="1"/>
  <c r="AA1" i="46" s="1"/>
  <c r="AB1" i="46" s="1"/>
  <c r="AC1" i="46" s="1"/>
  <c r="AD1" i="46" s="1"/>
  <c r="AE1" i="46" s="1"/>
  <c r="AF1" i="46" s="1"/>
  <c r="AG1" i="46" s="1"/>
  <c r="AH1" i="46" s="1"/>
  <c r="AI1" i="46" s="1"/>
  <c r="D70" i="45"/>
  <c r="C70" i="45"/>
  <c r="B70" i="45"/>
  <c r="D66" i="45"/>
  <c r="C66" i="45"/>
  <c r="C50" i="45"/>
  <c r="C49" i="45"/>
  <c r="C48" i="45"/>
  <c r="C47" i="45"/>
  <c r="C46" i="45"/>
  <c r="C45" i="45"/>
  <c r="C44" i="45"/>
  <c r="C43" i="45"/>
  <c r="C1" i="44"/>
  <c r="D1" i="44" s="1"/>
  <c r="E1" i="44" s="1"/>
  <c r="F1" i="44" s="1"/>
  <c r="G1" i="44" s="1"/>
  <c r="H1" i="44" s="1"/>
  <c r="I1" i="44" s="1"/>
  <c r="J1" i="44" s="1"/>
  <c r="K1" i="44" s="1"/>
  <c r="L1" i="44" s="1"/>
  <c r="M1" i="44" s="1"/>
  <c r="N1" i="44" s="1"/>
  <c r="O1" i="44" s="1"/>
  <c r="P1" i="44" s="1"/>
  <c r="Q1" i="44" s="1"/>
  <c r="R1" i="44" s="1"/>
  <c r="S1" i="44" s="1"/>
  <c r="T1" i="44" s="1"/>
  <c r="U1" i="44" s="1"/>
  <c r="V1" i="44" s="1"/>
  <c r="W1" i="44" s="1"/>
  <c r="X1" i="44" s="1"/>
  <c r="Y1" i="44" s="1"/>
  <c r="Z1" i="44" s="1"/>
  <c r="AA1" i="44" s="1"/>
  <c r="AB1" i="44" s="1"/>
  <c r="AC1" i="44" s="1"/>
  <c r="AD1" i="44" s="1"/>
  <c r="AE1" i="44" s="1"/>
  <c r="AF1" i="44" s="1"/>
  <c r="AG1" i="44" s="1"/>
  <c r="AH1" i="44" s="1"/>
  <c r="AI1" i="44" s="1"/>
  <c r="V21" i="73" l="1"/>
  <c r="U2" i="73"/>
  <c r="T23" i="73"/>
  <c r="T4" i="73" s="1"/>
  <c r="U25" i="73"/>
  <c r="U6" i="73" s="1"/>
  <c r="X34" i="73"/>
  <c r="X15" i="73" s="1"/>
  <c r="W32" i="73"/>
  <c r="W13" i="73" s="1"/>
  <c r="A24" i="46"/>
  <c r="A27" i="46" s="1"/>
  <c r="C33" i="46" s="1"/>
  <c r="E58" i="45"/>
  <c r="D45" i="45"/>
  <c r="C63" i="45"/>
  <c r="B63" i="45"/>
  <c r="B17" i="46"/>
  <c r="D16" i="46"/>
  <c r="E16" i="46" s="1"/>
  <c r="C16" i="46"/>
  <c r="C17" i="46"/>
  <c r="B32" i="46" s="1"/>
  <c r="B36" i="46" s="1"/>
  <c r="B38" i="46" s="1"/>
  <c r="B7" i="46" s="1"/>
  <c r="C51" i="45"/>
  <c r="C62" i="45" s="1"/>
  <c r="W21" i="73" l="1"/>
  <c r="V2" i="73"/>
  <c r="Y34" i="73"/>
  <c r="Y15" i="73" s="1"/>
  <c r="X32" i="73"/>
  <c r="X13" i="73" s="1"/>
  <c r="U23" i="73"/>
  <c r="U4" i="73" s="1"/>
  <c r="V25" i="73"/>
  <c r="V6" i="73" s="1"/>
  <c r="B64" i="45"/>
  <c r="B68" i="45" s="1"/>
  <c r="B72" i="45" s="1"/>
  <c r="B76" i="45" s="1"/>
  <c r="D43" i="45"/>
  <c r="D49" i="45"/>
  <c r="D47" i="45"/>
  <c r="D46" i="45"/>
  <c r="D48" i="45"/>
  <c r="D50" i="45"/>
  <c r="D42" i="45"/>
  <c r="D44" i="45"/>
  <c r="D63" i="45"/>
  <c r="D17" i="46"/>
  <c r="E17" i="46"/>
  <c r="C64" i="45"/>
  <c r="D51" i="45" l="1"/>
  <c r="D62" i="45" s="1"/>
  <c r="X21" i="73"/>
  <c r="W2" i="73"/>
  <c r="W25" i="73"/>
  <c r="W6" i="73" s="1"/>
  <c r="V23" i="73"/>
  <c r="V4" i="73" s="1"/>
  <c r="Z34" i="73"/>
  <c r="Z15" i="73" s="1"/>
  <c r="Y32" i="73"/>
  <c r="Y13" i="73" s="1"/>
  <c r="C68" i="45"/>
  <c r="C72" i="45" s="1"/>
  <c r="D64" i="45"/>
  <c r="A26" i="46"/>
  <c r="C32" i="46" s="1"/>
  <c r="C36" i="46" s="1"/>
  <c r="C38" i="46" s="1"/>
  <c r="B8" i="46" s="1"/>
  <c r="B4" i="46" s="1"/>
  <c r="C4" i="46" s="1"/>
  <c r="Y21" i="73" l="1"/>
  <c r="X2" i="73"/>
  <c r="AA34" i="73"/>
  <c r="AA15" i="73" s="1"/>
  <c r="Z32" i="73"/>
  <c r="Z13" i="73" s="1"/>
  <c r="W23" i="73"/>
  <c r="W4" i="73" s="1"/>
  <c r="X25" i="73"/>
  <c r="X6" i="73" s="1"/>
  <c r="D68" i="45"/>
  <c r="D72" i="45" s="1"/>
  <c r="B77" i="45" s="1"/>
  <c r="B87" i="45" s="1"/>
  <c r="Z21" i="73" l="1"/>
  <c r="Y2" i="73"/>
  <c r="X23" i="73"/>
  <c r="X4" i="73" s="1"/>
  <c r="Y25" i="73"/>
  <c r="Y6" i="73" s="1"/>
  <c r="AB34" i="73"/>
  <c r="AB15" i="73" s="1"/>
  <c r="AA32" i="73"/>
  <c r="AA13" i="73" s="1"/>
  <c r="H87" i="45"/>
  <c r="H86" i="45" s="1"/>
  <c r="I3" i="44" s="1"/>
  <c r="I87" i="45"/>
  <c r="I86" i="45" s="1"/>
  <c r="J3" i="44" s="1"/>
  <c r="G87" i="45"/>
  <c r="G86" i="45" s="1"/>
  <c r="H3" i="44" s="1"/>
  <c r="F87" i="45"/>
  <c r="F86" i="45" s="1"/>
  <c r="G3" i="44" s="1"/>
  <c r="E87" i="45"/>
  <c r="E86" i="45" s="1"/>
  <c r="F3" i="44" s="1"/>
  <c r="D87" i="45"/>
  <c r="D86" i="45" s="1"/>
  <c r="E3" i="44" s="1"/>
  <c r="C87" i="45"/>
  <c r="C86" i="45" s="1"/>
  <c r="D3" i="44" s="1"/>
  <c r="B3" i="46"/>
  <c r="AF78" i="47"/>
  <c r="AF10" i="44" s="1"/>
  <c r="P78" i="47"/>
  <c r="P10" i="44" s="1"/>
  <c r="F78" i="47"/>
  <c r="F10" i="44" s="1"/>
  <c r="S78" i="47"/>
  <c r="S10" i="44" s="1"/>
  <c r="AE78" i="47"/>
  <c r="AE10" i="44" s="1"/>
  <c r="O78" i="47"/>
  <c r="O10" i="44" s="1"/>
  <c r="B10" i="44"/>
  <c r="G78" i="47"/>
  <c r="G10" i="44" s="1"/>
  <c r="AI78" i="47"/>
  <c r="AB78" i="47"/>
  <c r="AB10" i="44" s="1"/>
  <c r="E78" i="47"/>
  <c r="E10" i="44" s="1"/>
  <c r="AH78" i="47"/>
  <c r="AH10" i="44" s="1"/>
  <c r="Y78" i="47"/>
  <c r="Y10" i="44" s="1"/>
  <c r="I78" i="47"/>
  <c r="I10" i="44" s="1"/>
  <c r="L78" i="47"/>
  <c r="L10" i="44" s="1"/>
  <c r="N78" i="47"/>
  <c r="N10" i="44" s="1"/>
  <c r="R78" i="47"/>
  <c r="R10" i="44" s="1"/>
  <c r="M78" i="47"/>
  <c r="M10" i="44" s="1"/>
  <c r="Z78" i="47"/>
  <c r="Z10" i="44" s="1"/>
  <c r="Q78" i="47"/>
  <c r="Q10" i="44" s="1"/>
  <c r="U78" i="47"/>
  <c r="U10" i="44" s="1"/>
  <c r="K78" i="47"/>
  <c r="K10" i="44" s="1"/>
  <c r="W78" i="47"/>
  <c r="W10" i="44" s="1"/>
  <c r="AD78" i="47"/>
  <c r="AD10" i="44" s="1"/>
  <c r="V78" i="47"/>
  <c r="V10" i="44" s="1"/>
  <c r="AG78" i="47"/>
  <c r="AG10" i="44" s="1"/>
  <c r="AI10" i="44" s="1"/>
  <c r="D78" i="47"/>
  <c r="D10" i="44" s="1"/>
  <c r="T78" i="47"/>
  <c r="T10" i="44" s="1"/>
  <c r="AA78" i="47"/>
  <c r="AA10" i="44" s="1"/>
  <c r="H78" i="47"/>
  <c r="H10" i="44" s="1"/>
  <c r="J78" i="47"/>
  <c r="J10" i="44" s="1"/>
  <c r="X78" i="47"/>
  <c r="X10" i="44" s="1"/>
  <c r="AC78" i="47"/>
  <c r="AC10" i="44" s="1"/>
  <c r="C78" i="47"/>
  <c r="C10" i="44" s="1"/>
  <c r="AA21" i="73" l="1"/>
  <c r="Z2" i="73"/>
  <c r="AC34" i="73"/>
  <c r="AC15" i="73" s="1"/>
  <c r="AB32" i="73"/>
  <c r="AB13" i="73" s="1"/>
  <c r="Z25" i="73"/>
  <c r="Z6" i="73" s="1"/>
  <c r="Y23" i="73"/>
  <c r="Y4" i="73" s="1"/>
  <c r="K3" i="44"/>
  <c r="U3" i="44"/>
  <c r="AC3" i="44"/>
  <c r="X3" i="44"/>
  <c r="M3" i="44"/>
  <c r="V3" i="44"/>
  <c r="AD3" i="44"/>
  <c r="O3" i="44"/>
  <c r="AF3" i="44"/>
  <c r="N3" i="44"/>
  <c r="W3" i="44"/>
  <c r="AE3" i="44"/>
  <c r="Q3" i="44"/>
  <c r="Y3" i="44"/>
  <c r="AG3" i="44"/>
  <c r="AB3" i="44"/>
  <c r="R3" i="44"/>
  <c r="Z3" i="44"/>
  <c r="AH3" i="44"/>
  <c r="L3" i="44"/>
  <c r="S3" i="44"/>
  <c r="AA3" i="44"/>
  <c r="AI3" i="44"/>
  <c r="T3" i="44"/>
  <c r="P3" i="44"/>
  <c r="B86" i="45"/>
  <c r="C3" i="44" s="1"/>
  <c r="B3" i="44" s="1"/>
  <c r="I74" i="47"/>
  <c r="I73" i="47" s="1"/>
  <c r="I4" i="44" s="1"/>
  <c r="F74" i="47"/>
  <c r="F73" i="47" s="1"/>
  <c r="F4" i="44" s="1"/>
  <c r="D4" i="46"/>
  <c r="E4" i="46" s="1"/>
  <c r="F4" i="46" s="1"/>
  <c r="G4" i="46" s="1"/>
  <c r="H4" i="46" s="1"/>
  <c r="I4" i="46" s="1"/>
  <c r="J4" i="46" s="1"/>
  <c r="AB21" i="73" l="1"/>
  <c r="AA2" i="73"/>
  <c r="Z23" i="73"/>
  <c r="Z4" i="73" s="1"/>
  <c r="AA25" i="73"/>
  <c r="AA6" i="73" s="1"/>
  <c r="AD34" i="73"/>
  <c r="AD15" i="73" s="1"/>
  <c r="AC32" i="73"/>
  <c r="AC13" i="73" s="1"/>
  <c r="F2" i="44"/>
  <c r="D2" i="2" s="1"/>
  <c r="I2" i="44"/>
  <c r="G2" i="2" s="1"/>
  <c r="C3" i="46"/>
  <c r="D74" i="47"/>
  <c r="D73" i="47" s="1"/>
  <c r="D4" i="44" s="1"/>
  <c r="D2" i="44" s="1"/>
  <c r="B2" i="2" s="1"/>
  <c r="B4" i="44"/>
  <c r="B2" i="44" s="1"/>
  <c r="H74" i="47"/>
  <c r="H73" i="47" s="1"/>
  <c r="H4" i="44" s="1"/>
  <c r="H2" i="44" s="1"/>
  <c r="F2" i="2" s="1"/>
  <c r="L74" i="47"/>
  <c r="L73" i="47" s="1"/>
  <c r="L4" i="44" s="1"/>
  <c r="J74" i="47"/>
  <c r="J73" i="47" s="1"/>
  <c r="J4" i="44" s="1"/>
  <c r="J2" i="44" s="1"/>
  <c r="H2" i="2" s="1"/>
  <c r="N74" i="47"/>
  <c r="N73" i="47" s="1"/>
  <c r="N4" i="44" s="1"/>
  <c r="C74" i="47"/>
  <c r="C73" i="47" s="1"/>
  <c r="C4" i="44" s="1"/>
  <c r="C2" i="44" s="1"/>
  <c r="K74" i="47"/>
  <c r="K73" i="47" s="1"/>
  <c r="K4" i="44" s="1"/>
  <c r="E74" i="47"/>
  <c r="E73" i="47" s="1"/>
  <c r="E4" i="44" s="1"/>
  <c r="E2" i="44" s="1"/>
  <c r="C2" i="2" s="1"/>
  <c r="G74" i="47"/>
  <c r="G73" i="47" s="1"/>
  <c r="G4" i="44" s="1"/>
  <c r="G2" i="44" s="1"/>
  <c r="E2" i="2" s="1"/>
  <c r="M74" i="47"/>
  <c r="M73" i="47" s="1"/>
  <c r="M4" i="44" s="1"/>
  <c r="AC21" i="73" l="1"/>
  <c r="AB2" i="73"/>
  <c r="AE34" i="73"/>
  <c r="AE15" i="73" s="1"/>
  <c r="AD32" i="73"/>
  <c r="AD13" i="73" s="1"/>
  <c r="AA23" i="73"/>
  <c r="AA4" i="73" s="1"/>
  <c r="AB25" i="73"/>
  <c r="AB6" i="73" s="1"/>
  <c r="L2" i="44"/>
  <c r="J2" i="2" s="1"/>
  <c r="N2" i="44"/>
  <c r="L2" i="2" s="1"/>
  <c r="K2" i="44"/>
  <c r="I2" i="2" s="1"/>
  <c r="M2" i="44"/>
  <c r="K2" i="2" s="1"/>
  <c r="AC74" i="47"/>
  <c r="AC73" i="47" s="1"/>
  <c r="AC4" i="44" s="1"/>
  <c r="AC2" i="44" s="1"/>
  <c r="AA2" i="2" s="1"/>
  <c r="AD21" i="73" l="1"/>
  <c r="AC2" i="73"/>
  <c r="AB23" i="73"/>
  <c r="AB4" i="73" s="1"/>
  <c r="AC25" i="73"/>
  <c r="AC6" i="73" s="1"/>
  <c r="AF34" i="73"/>
  <c r="AE32" i="73"/>
  <c r="AE13" i="73" s="1"/>
  <c r="AE74" i="47"/>
  <c r="AE73" i="47" s="1"/>
  <c r="AE4" i="44" s="1"/>
  <c r="AE2" i="44" s="1"/>
  <c r="AC2" i="2" s="1"/>
  <c r="R74" i="47"/>
  <c r="R73" i="47" s="1"/>
  <c r="R4" i="44" s="1"/>
  <c r="R2" i="44" s="1"/>
  <c r="P2" i="2" s="1"/>
  <c r="AF74" i="47"/>
  <c r="AF73" i="47" s="1"/>
  <c r="AF4" i="44" s="1"/>
  <c r="AF2" i="44" s="1"/>
  <c r="AD2" i="2" s="1"/>
  <c r="T74" i="47"/>
  <c r="T73" i="47" s="1"/>
  <c r="T4" i="44" s="1"/>
  <c r="T2" i="44" s="1"/>
  <c r="R2" i="2" s="1"/>
  <c r="O74" i="47"/>
  <c r="O73" i="47" s="1"/>
  <c r="O4" i="44" s="1"/>
  <c r="O2" i="44" s="1"/>
  <c r="M2" i="2" s="1"/>
  <c r="AG74" i="47"/>
  <c r="AG73" i="47" s="1"/>
  <c r="AG4" i="44" s="1"/>
  <c r="AG2" i="44" s="1"/>
  <c r="AE2" i="2" s="1"/>
  <c r="AI74" i="47"/>
  <c r="AI73" i="47" s="1"/>
  <c r="AI4" i="44" s="1"/>
  <c r="AI2" i="44" s="1"/>
  <c r="AG2" i="2" s="1"/>
  <c r="U74" i="47"/>
  <c r="U73" i="47" s="1"/>
  <c r="U4" i="44" s="1"/>
  <c r="U2" i="44" s="1"/>
  <c r="S2" i="2" s="1"/>
  <c r="AB74" i="47"/>
  <c r="AB73" i="47" s="1"/>
  <c r="AB4" i="44" s="1"/>
  <c r="AB2" i="44" s="1"/>
  <c r="Z2" i="2" s="1"/>
  <c r="S74" i="47"/>
  <c r="S73" i="47" s="1"/>
  <c r="S4" i="44" s="1"/>
  <c r="S2" i="44" s="1"/>
  <c r="Q2" i="2" s="1"/>
  <c r="P74" i="47"/>
  <c r="P73" i="47" s="1"/>
  <c r="P4" i="44" s="1"/>
  <c r="P2" i="44" s="1"/>
  <c r="N2" i="2" s="1"/>
  <c r="Y74" i="47"/>
  <c r="Y73" i="47" s="1"/>
  <c r="Y4" i="44" s="1"/>
  <c r="Y2" i="44" s="1"/>
  <c r="W2" i="2" s="1"/>
  <c r="AA74" i="47"/>
  <c r="AA73" i="47" s="1"/>
  <c r="AA4" i="44" s="1"/>
  <c r="AA2" i="44" s="1"/>
  <c r="Y2" i="2" s="1"/>
  <c r="Q74" i="47"/>
  <c r="Q73" i="47" s="1"/>
  <c r="Q4" i="44" s="1"/>
  <c r="Q2" i="44" s="1"/>
  <c r="O2" i="2" s="1"/>
  <c r="Z74" i="47"/>
  <c r="Z73" i="47" s="1"/>
  <c r="Z4" i="44" s="1"/>
  <c r="Z2" i="44" s="1"/>
  <c r="X2" i="2" s="1"/>
  <c r="W74" i="47"/>
  <c r="W73" i="47" s="1"/>
  <c r="W4" i="44" s="1"/>
  <c r="W2" i="44" s="1"/>
  <c r="U2" i="2" s="1"/>
  <c r="V74" i="47"/>
  <c r="V73" i="47" s="1"/>
  <c r="V4" i="44" s="1"/>
  <c r="V2" i="44" s="1"/>
  <c r="T2" i="2" s="1"/>
  <c r="X74" i="47"/>
  <c r="X73" i="47" s="1"/>
  <c r="X4" i="44" s="1"/>
  <c r="X2" i="44" s="1"/>
  <c r="V2" i="2" s="1"/>
  <c r="AD74" i="47"/>
  <c r="AD73" i="47" s="1"/>
  <c r="AD4" i="44" s="1"/>
  <c r="AD2" i="44" s="1"/>
  <c r="AB2" i="2" s="1"/>
  <c r="AH74" i="47"/>
  <c r="AH73" i="47" s="1"/>
  <c r="AH4" i="44" s="1"/>
  <c r="AH2" i="44" s="1"/>
  <c r="AF2" i="2" s="1"/>
  <c r="AF32" i="73" l="1"/>
  <c r="AF13" i="73" s="1"/>
  <c r="AF15" i="73"/>
  <c r="AE21" i="73"/>
  <c r="AD2" i="73"/>
  <c r="AC23" i="73"/>
  <c r="AC4" i="73" s="1"/>
  <c r="AD25" i="73"/>
  <c r="AD6" i="73" s="1"/>
  <c r="F50" i="34"/>
  <c r="C50" i="34"/>
  <c r="D50" i="34"/>
  <c r="E50" i="34"/>
  <c r="B50" i="34"/>
  <c r="AF21" i="73" l="1"/>
  <c r="AF2" i="73" s="1"/>
  <c r="AE2" i="73"/>
  <c r="AE25" i="73"/>
  <c r="AE6" i="73" s="1"/>
  <c r="AD23" i="73"/>
  <c r="AD4" i="73" s="1"/>
  <c r="B53" i="34"/>
  <c r="C53" i="34"/>
  <c r="C32" i="74" s="1"/>
  <c r="D32" i="74" s="1"/>
  <c r="E32" i="74" s="1"/>
  <c r="D53" i="34"/>
  <c r="C33" i="74" s="1"/>
  <c r="D33" i="74" s="1"/>
  <c r="E33" i="74" s="1"/>
  <c r="E53" i="34"/>
  <c r="C34" i="74" s="1"/>
  <c r="D34" i="74" s="1"/>
  <c r="E34" i="74" s="1"/>
  <c r="AF25" i="73" l="1"/>
  <c r="AE23" i="73"/>
  <c r="AE4" i="73" s="1"/>
  <c r="D23" i="34"/>
  <c r="C23" i="34"/>
  <c r="B23" i="34"/>
  <c r="C31" i="74"/>
  <c r="AF23" i="73" l="1"/>
  <c r="AF4" i="73" s="1"/>
  <c r="AF6" i="73"/>
  <c r="E31" i="74"/>
  <c r="E36" i="74" s="1"/>
  <c r="B25" i="74" s="1"/>
  <c r="D31" i="74"/>
  <c r="D35" i="74" s="1"/>
  <c r="B24" i="74" s="1"/>
  <c r="F37" i="74"/>
  <c r="C24" i="74" l="1"/>
  <c r="B17" i="74"/>
  <c r="B76" i="74"/>
  <c r="B70" i="74" s="1"/>
  <c r="B23" i="74"/>
  <c r="C25" i="74"/>
  <c r="B16" i="74"/>
  <c r="B5" i="74" s="1"/>
  <c r="F53" i="34"/>
  <c r="B15" i="74" l="1"/>
  <c r="B4" i="74" s="1"/>
  <c r="B6" i="74"/>
  <c r="D25" i="74"/>
  <c r="C16" i="74"/>
  <c r="C5" i="74" s="1"/>
  <c r="K77" i="74"/>
  <c r="K23" i="74" s="1"/>
  <c r="K14" i="74" s="1"/>
  <c r="W77" i="74"/>
  <c r="W23" i="74" s="1"/>
  <c r="W14" i="74" s="1"/>
  <c r="P77" i="74"/>
  <c r="P23" i="74" s="1"/>
  <c r="P14" i="74" s="1"/>
  <c r="S77" i="74"/>
  <c r="S23" i="74" s="1"/>
  <c r="S14" i="74" s="1"/>
  <c r="E77" i="74"/>
  <c r="E23" i="74" s="1"/>
  <c r="E14" i="74" s="1"/>
  <c r="X77" i="74"/>
  <c r="X23" i="74" s="1"/>
  <c r="X14" i="74" s="1"/>
  <c r="J77" i="74"/>
  <c r="J23" i="74" s="1"/>
  <c r="J14" i="74" s="1"/>
  <c r="AA77" i="74"/>
  <c r="AA70" i="74" s="1"/>
  <c r="M77" i="74"/>
  <c r="M70" i="74" s="1"/>
  <c r="AF77" i="74"/>
  <c r="AF23" i="74" s="1"/>
  <c r="AF14" i="74" s="1"/>
  <c r="R77" i="74"/>
  <c r="R23" i="74" s="1"/>
  <c r="R14" i="74" s="1"/>
  <c r="D77" i="74"/>
  <c r="D23" i="74" s="1"/>
  <c r="D14" i="74" s="1"/>
  <c r="U77" i="74"/>
  <c r="U23" i="74" s="1"/>
  <c r="U14" i="74" s="1"/>
  <c r="I77" i="74"/>
  <c r="I23" i="74" s="1"/>
  <c r="I14" i="74" s="1"/>
  <c r="Z77" i="74"/>
  <c r="Z70" i="74" s="1"/>
  <c r="L77" i="74"/>
  <c r="L23" i="74" s="1"/>
  <c r="L14" i="74" s="1"/>
  <c r="AC77" i="74"/>
  <c r="AC70" i="74" s="1"/>
  <c r="Q77" i="74"/>
  <c r="Q23" i="74" s="1"/>
  <c r="Q14" i="74" s="1"/>
  <c r="N77" i="74"/>
  <c r="N23" i="74" s="1"/>
  <c r="N14" i="74" s="1"/>
  <c r="AD77" i="74"/>
  <c r="AD23" i="74" s="1"/>
  <c r="AD14" i="74" s="1"/>
  <c r="T77" i="74"/>
  <c r="T23" i="74" s="1"/>
  <c r="T14" i="74" s="1"/>
  <c r="F77" i="74"/>
  <c r="F23" i="74" s="1"/>
  <c r="F14" i="74" s="1"/>
  <c r="Y77" i="74"/>
  <c r="Y23" i="74" s="1"/>
  <c r="Y14" i="74" s="1"/>
  <c r="G77" i="74"/>
  <c r="G23" i="74" s="1"/>
  <c r="G14" i="74" s="1"/>
  <c r="O77" i="74"/>
  <c r="O23" i="74" s="1"/>
  <c r="O14" i="74" s="1"/>
  <c r="AB77" i="74"/>
  <c r="AB23" i="74" s="1"/>
  <c r="AB14" i="74" s="1"/>
  <c r="V77" i="74"/>
  <c r="V23" i="74" s="1"/>
  <c r="V14" i="74" s="1"/>
  <c r="C77" i="74"/>
  <c r="C23" i="74" s="1"/>
  <c r="C14" i="74" s="1"/>
  <c r="AE77" i="74"/>
  <c r="AE23" i="74" s="1"/>
  <c r="AE14" i="74" s="1"/>
  <c r="H77" i="74"/>
  <c r="H23" i="74" s="1"/>
  <c r="H14" i="74" s="1"/>
  <c r="B14" i="74"/>
  <c r="AA23" i="74"/>
  <c r="AA14" i="74" s="1"/>
  <c r="M23" i="74"/>
  <c r="M14" i="74" s="1"/>
  <c r="Z23" i="74"/>
  <c r="Z14" i="74" s="1"/>
  <c r="D24" i="74"/>
  <c r="C17" i="74"/>
  <c r="K70" i="74" l="1"/>
  <c r="S70" i="74"/>
  <c r="C70" i="74"/>
  <c r="W70" i="74"/>
  <c r="AA71" i="74"/>
  <c r="O70" i="74"/>
  <c r="O71" i="74" s="1"/>
  <c r="N70" i="74"/>
  <c r="AC23" i="74"/>
  <c r="AC14" i="74" s="1"/>
  <c r="AB70" i="74"/>
  <c r="Y70" i="74"/>
  <c r="G70" i="74"/>
  <c r="D70" i="74"/>
  <c r="D71" i="74" s="1"/>
  <c r="Q70" i="74"/>
  <c r="Q71" i="74" s="1"/>
  <c r="L70" i="74"/>
  <c r="X70" i="74"/>
  <c r="F70" i="74"/>
  <c r="I70" i="74"/>
  <c r="AF70" i="74"/>
  <c r="T70" i="74"/>
  <c r="P70" i="74"/>
  <c r="P71" i="74" s="1"/>
  <c r="U70" i="74"/>
  <c r="U71" i="74" s="1"/>
  <c r="R70" i="74"/>
  <c r="H70" i="74"/>
  <c r="AD70" i="74"/>
  <c r="J70" i="74"/>
  <c r="AE70" i="74"/>
  <c r="V70" i="74"/>
  <c r="E70" i="74"/>
  <c r="E71" i="74" s="1"/>
  <c r="O20" i="74"/>
  <c r="O9" i="74" s="1"/>
  <c r="O69" i="74"/>
  <c r="O3" i="74"/>
  <c r="J20" i="74"/>
  <c r="J9" i="74" s="1"/>
  <c r="J69" i="74"/>
  <c r="J3" i="74"/>
  <c r="R20" i="74"/>
  <c r="R9" i="74" s="1"/>
  <c r="R69" i="74"/>
  <c r="R3" i="74"/>
  <c r="P20" i="74"/>
  <c r="P9" i="74" s="1"/>
  <c r="P69" i="74"/>
  <c r="P3" i="74"/>
  <c r="AD20" i="74"/>
  <c r="AD9" i="74" s="1"/>
  <c r="AD69" i="74"/>
  <c r="AD3" i="74"/>
  <c r="AF20" i="74"/>
  <c r="AF9" i="74" s="1"/>
  <c r="AF69" i="74"/>
  <c r="AF3" i="74"/>
  <c r="Q20" i="74"/>
  <c r="Q9" i="74" s="1"/>
  <c r="Q69" i="74"/>
  <c r="Q3" i="74"/>
  <c r="W20" i="74"/>
  <c r="W9" i="74" s="1"/>
  <c r="W69" i="74"/>
  <c r="W3" i="74"/>
  <c r="S20" i="74"/>
  <c r="S9" i="74" s="1"/>
  <c r="S69" i="74"/>
  <c r="S3" i="74"/>
  <c r="AB20" i="74"/>
  <c r="AB9" i="74" s="1"/>
  <c r="AB69" i="74"/>
  <c r="AB3" i="74"/>
  <c r="AC20" i="74"/>
  <c r="AC9" i="74" s="1"/>
  <c r="AC69" i="74"/>
  <c r="AC71" i="74" s="1"/>
  <c r="AC3" i="74"/>
  <c r="K20" i="74"/>
  <c r="K9" i="74" s="1"/>
  <c r="K69" i="74"/>
  <c r="K3" i="74"/>
  <c r="N20" i="74"/>
  <c r="N9" i="74" s="1"/>
  <c r="N69" i="74"/>
  <c r="N3" i="74"/>
  <c r="C15" i="74"/>
  <c r="C4" i="74" s="1"/>
  <c r="C6" i="74"/>
  <c r="AA20" i="74"/>
  <c r="AA9" i="74" s="1"/>
  <c r="AA69" i="74"/>
  <c r="AA3" i="74"/>
  <c r="G20" i="74"/>
  <c r="G9" i="74" s="1"/>
  <c r="G69" i="74"/>
  <c r="G3" i="74"/>
  <c r="L20" i="74"/>
  <c r="L9" i="74" s="1"/>
  <c r="L69" i="74"/>
  <c r="L3" i="74"/>
  <c r="V20" i="74"/>
  <c r="V9" i="74" s="1"/>
  <c r="V69" i="74"/>
  <c r="V3" i="74"/>
  <c r="B20" i="74"/>
  <c r="B9" i="74" s="1"/>
  <c r="B69" i="74"/>
  <c r="B71" i="74" s="1"/>
  <c r="B3" i="74"/>
  <c r="Y20" i="74"/>
  <c r="Y9" i="74" s="1"/>
  <c r="Y69" i="74"/>
  <c r="Y3" i="74"/>
  <c r="D20" i="74"/>
  <c r="D9" i="74" s="1"/>
  <c r="D69" i="74"/>
  <c r="D3" i="74"/>
  <c r="Z20" i="74"/>
  <c r="Z9" i="74" s="1"/>
  <c r="Z69" i="74"/>
  <c r="Z71" i="74" s="1"/>
  <c r="Z3" i="74"/>
  <c r="F20" i="74"/>
  <c r="F9" i="74" s="1"/>
  <c r="F69" i="74"/>
  <c r="F3" i="74"/>
  <c r="I20" i="74"/>
  <c r="I9" i="74" s="1"/>
  <c r="I69" i="74"/>
  <c r="I3" i="74"/>
  <c r="X20" i="74"/>
  <c r="X9" i="74" s="1"/>
  <c r="X69" i="74"/>
  <c r="X3" i="74"/>
  <c r="C20" i="74"/>
  <c r="C9" i="74" s="1"/>
  <c r="C69" i="74"/>
  <c r="C3" i="74"/>
  <c r="M20" i="74"/>
  <c r="M9" i="74" s="1"/>
  <c r="M69" i="74"/>
  <c r="M71" i="74" s="1"/>
  <c r="M3" i="74"/>
  <c r="H20" i="74"/>
  <c r="H9" i="74" s="1"/>
  <c r="H69" i="74"/>
  <c r="H3" i="74"/>
  <c r="AE20" i="74"/>
  <c r="AE9" i="74" s="1"/>
  <c r="AE69" i="74"/>
  <c r="AE3" i="74"/>
  <c r="T20" i="74"/>
  <c r="T9" i="74" s="1"/>
  <c r="T69" i="74"/>
  <c r="T3" i="74"/>
  <c r="U20" i="74"/>
  <c r="U9" i="74" s="1"/>
  <c r="U69" i="74"/>
  <c r="U3" i="74"/>
  <c r="E20" i="74"/>
  <c r="E9" i="74" s="1"/>
  <c r="E69" i="74"/>
  <c r="E3" i="74"/>
  <c r="E24" i="74"/>
  <c r="D17" i="74"/>
  <c r="E25" i="74"/>
  <c r="D16" i="74"/>
  <c r="D5" i="74" s="1"/>
  <c r="V71" i="74" l="1"/>
  <c r="T71" i="74"/>
  <c r="G71" i="74"/>
  <c r="AE71" i="74"/>
  <c r="AF71" i="74"/>
  <c r="Y71" i="74"/>
  <c r="W71" i="74"/>
  <c r="J71" i="74"/>
  <c r="I71" i="74"/>
  <c r="AB71" i="74"/>
  <c r="AD71" i="74"/>
  <c r="F71" i="74"/>
  <c r="C71" i="74"/>
  <c r="H71" i="74"/>
  <c r="X71" i="74"/>
  <c r="N71" i="74"/>
  <c r="S71" i="74"/>
  <c r="R71" i="74"/>
  <c r="L71" i="74"/>
  <c r="K71" i="74"/>
  <c r="D15" i="74"/>
  <c r="D4" i="74" s="1"/>
  <c r="D6" i="74"/>
  <c r="F25" i="74"/>
  <c r="E16" i="74"/>
  <c r="E5" i="74" s="1"/>
  <c r="F24" i="74"/>
  <c r="E17" i="74"/>
  <c r="E15" i="74" l="1"/>
  <c r="E4" i="74" s="1"/>
  <c r="E6" i="74"/>
  <c r="G24" i="74"/>
  <c r="F17" i="74"/>
  <c r="G25" i="74"/>
  <c r="F16" i="74"/>
  <c r="F5" i="74" s="1"/>
  <c r="F15" i="74" l="1"/>
  <c r="F4" i="74" s="1"/>
  <c r="F6" i="74"/>
  <c r="H25" i="74"/>
  <c r="G16" i="74"/>
  <c r="G5" i="74" s="1"/>
  <c r="H24" i="74"/>
  <c r="G17" i="74"/>
  <c r="G15" i="74" l="1"/>
  <c r="G4" i="74" s="1"/>
  <c r="G6" i="74"/>
  <c r="I24" i="74"/>
  <c r="H17" i="74"/>
  <c r="I25" i="74"/>
  <c r="H16" i="74"/>
  <c r="H5" i="74" s="1"/>
  <c r="H15" i="74" l="1"/>
  <c r="H4" i="74" s="1"/>
  <c r="H6" i="74"/>
  <c r="J25" i="74"/>
  <c r="I16" i="74"/>
  <c r="I5" i="74" s="1"/>
  <c r="J24" i="74"/>
  <c r="I17" i="74"/>
  <c r="I15" i="74" l="1"/>
  <c r="I4" i="74" s="1"/>
  <c r="I6" i="74"/>
  <c r="K24" i="74"/>
  <c r="J17" i="74"/>
  <c r="K25" i="74"/>
  <c r="J16" i="74"/>
  <c r="J5" i="74" s="1"/>
  <c r="J15" i="74" l="1"/>
  <c r="J4" i="74" s="1"/>
  <c r="J6" i="74"/>
  <c r="L25" i="74"/>
  <c r="K16" i="74"/>
  <c r="K5" i="74" s="1"/>
  <c r="L24" i="74"/>
  <c r="K17" i="74"/>
  <c r="K15" i="74" l="1"/>
  <c r="K4" i="74" s="1"/>
  <c r="K6" i="74"/>
  <c r="M24" i="74"/>
  <c r="L17" i="74"/>
  <c r="M25" i="74"/>
  <c r="L16" i="74"/>
  <c r="L5" i="74" s="1"/>
  <c r="L15" i="74" l="1"/>
  <c r="L4" i="74" s="1"/>
  <c r="L6" i="74"/>
  <c r="N25" i="74"/>
  <c r="M16" i="74"/>
  <c r="M5" i="74" s="1"/>
  <c r="N24" i="74"/>
  <c r="M17" i="74"/>
  <c r="M15" i="74" l="1"/>
  <c r="M4" i="74" s="1"/>
  <c r="M6" i="74"/>
  <c r="O24" i="74"/>
  <c r="N17" i="74"/>
  <c r="O25" i="74"/>
  <c r="N16" i="74"/>
  <c r="N5" i="74" s="1"/>
  <c r="N15" i="74" l="1"/>
  <c r="N4" i="74" s="1"/>
  <c r="N6" i="74"/>
  <c r="P25" i="74"/>
  <c r="O16" i="74"/>
  <c r="O5" i="74" s="1"/>
  <c r="P24" i="74"/>
  <c r="O17" i="74"/>
  <c r="O15" i="74" l="1"/>
  <c r="O4" i="74" s="1"/>
  <c r="O6" i="74"/>
  <c r="Q24" i="74"/>
  <c r="P17" i="74"/>
  <c r="Q25" i="74"/>
  <c r="P16" i="74"/>
  <c r="P5" i="74" s="1"/>
  <c r="P15" i="74" l="1"/>
  <c r="P4" i="74" s="1"/>
  <c r="P6" i="74"/>
  <c r="R25" i="74"/>
  <c r="Q16" i="74"/>
  <c r="Q5" i="74" s="1"/>
  <c r="R24" i="74"/>
  <c r="Q17" i="74"/>
  <c r="Q15" i="74" l="1"/>
  <c r="Q4" i="74" s="1"/>
  <c r="Q6" i="74"/>
  <c r="S24" i="74"/>
  <c r="R17" i="74"/>
  <c r="S25" i="74"/>
  <c r="R16" i="74"/>
  <c r="R5" i="74" s="1"/>
  <c r="R15" i="74" l="1"/>
  <c r="R4" i="74" s="1"/>
  <c r="R6" i="74"/>
  <c r="T25" i="74"/>
  <c r="S16" i="74"/>
  <c r="S5" i="74" s="1"/>
  <c r="T24" i="74"/>
  <c r="S17" i="74"/>
  <c r="S15" i="74" l="1"/>
  <c r="S4" i="74" s="1"/>
  <c r="S6" i="74"/>
  <c r="U24" i="74"/>
  <c r="T17" i="74"/>
  <c r="U25" i="74"/>
  <c r="T16" i="74"/>
  <c r="T5" i="74" s="1"/>
  <c r="T15" i="74" l="1"/>
  <c r="T4" i="74" s="1"/>
  <c r="T6" i="74"/>
  <c r="V25" i="74"/>
  <c r="U16" i="74"/>
  <c r="U5" i="74" s="1"/>
  <c r="V24" i="74"/>
  <c r="U17" i="74"/>
  <c r="U15" i="74" l="1"/>
  <c r="U4" i="74" s="1"/>
  <c r="U6" i="74"/>
  <c r="W24" i="74"/>
  <c r="V17" i="74"/>
  <c r="W25" i="74"/>
  <c r="V16" i="74"/>
  <c r="V5" i="74" s="1"/>
  <c r="C1" i="18"/>
  <c r="D1" i="18"/>
  <c r="E1" i="18"/>
  <c r="F1" i="18"/>
  <c r="G1" i="18"/>
  <c r="H1" i="18"/>
  <c r="I1" i="18"/>
  <c r="J1" i="18"/>
  <c r="K1" i="18"/>
  <c r="L1" i="18"/>
  <c r="M1" i="18"/>
  <c r="N1" i="18"/>
  <c r="O1" i="18"/>
  <c r="P1" i="18"/>
  <c r="Q1" i="18"/>
  <c r="R1" i="18"/>
  <c r="S1" i="18"/>
  <c r="T1" i="18"/>
  <c r="U1" i="18"/>
  <c r="V1" i="18"/>
  <c r="W1" i="18"/>
  <c r="X1" i="18"/>
  <c r="Y1" i="18"/>
  <c r="Z1" i="18"/>
  <c r="AA1" i="18"/>
  <c r="AB1" i="18"/>
  <c r="AC1" i="18"/>
  <c r="AD1" i="18"/>
  <c r="AE1" i="18"/>
  <c r="AF1" i="18"/>
  <c r="AG1" i="18"/>
  <c r="B1" i="18"/>
  <c r="C1" i="17"/>
  <c r="D1" i="17"/>
  <c r="E1" i="17"/>
  <c r="F1" i="17"/>
  <c r="G1" i="17"/>
  <c r="H1" i="17"/>
  <c r="I1" i="17"/>
  <c r="J1" i="17"/>
  <c r="K1" i="17"/>
  <c r="L1" i="17"/>
  <c r="M1" i="17"/>
  <c r="N1" i="17"/>
  <c r="O1" i="17"/>
  <c r="P1" i="17"/>
  <c r="Q1" i="17"/>
  <c r="R1" i="17"/>
  <c r="S1" i="17"/>
  <c r="T1" i="17"/>
  <c r="U1" i="17"/>
  <c r="V1" i="17"/>
  <c r="W1" i="17"/>
  <c r="X1" i="17"/>
  <c r="Y1" i="17"/>
  <c r="Z1" i="17"/>
  <c r="AA1" i="17"/>
  <c r="AB1" i="17"/>
  <c r="AC1" i="17"/>
  <c r="AD1" i="17"/>
  <c r="AE1" i="17"/>
  <c r="AF1" i="17"/>
  <c r="AG1" i="17"/>
  <c r="B1" i="17"/>
  <c r="C1" i="16"/>
  <c r="D1" i="16"/>
  <c r="E1" i="16"/>
  <c r="F1" i="16"/>
  <c r="G1" i="16"/>
  <c r="H1" i="16"/>
  <c r="I1" i="16"/>
  <c r="J1" i="16"/>
  <c r="K1" i="16"/>
  <c r="L1" i="16"/>
  <c r="M1" i="16"/>
  <c r="N1" i="16"/>
  <c r="O1" i="16"/>
  <c r="P1" i="16"/>
  <c r="Q1" i="16"/>
  <c r="R1" i="16"/>
  <c r="S1" i="16"/>
  <c r="T1" i="16"/>
  <c r="U1" i="16"/>
  <c r="V1" i="16"/>
  <c r="W1" i="16"/>
  <c r="X1" i="16"/>
  <c r="Y1" i="16"/>
  <c r="Z1" i="16"/>
  <c r="AA1" i="16"/>
  <c r="AB1" i="16"/>
  <c r="AC1" i="16"/>
  <c r="AD1" i="16"/>
  <c r="AE1" i="16"/>
  <c r="AF1" i="16"/>
  <c r="AG1" i="16"/>
  <c r="B1" i="16"/>
  <c r="C1" i="15"/>
  <c r="D1" i="15"/>
  <c r="E1" i="15"/>
  <c r="F1" i="15"/>
  <c r="G1" i="15"/>
  <c r="H1" i="15"/>
  <c r="I1" i="15"/>
  <c r="J1" i="15"/>
  <c r="K1" i="15"/>
  <c r="L1" i="15"/>
  <c r="M1" i="15"/>
  <c r="N1" i="15"/>
  <c r="O1" i="15"/>
  <c r="P1" i="15"/>
  <c r="Q1" i="15"/>
  <c r="R1" i="15"/>
  <c r="S1" i="15"/>
  <c r="T1" i="15"/>
  <c r="U1" i="15"/>
  <c r="V1" i="15"/>
  <c r="W1" i="15"/>
  <c r="X1" i="15"/>
  <c r="Y1" i="15"/>
  <c r="Z1" i="15"/>
  <c r="AA1" i="15"/>
  <c r="AB1" i="15"/>
  <c r="AC1" i="15"/>
  <c r="AD1" i="15"/>
  <c r="AE1" i="15"/>
  <c r="AF1" i="15"/>
  <c r="AG1" i="15"/>
  <c r="B1" i="15"/>
  <c r="C1" i="14"/>
  <c r="D1" i="14"/>
  <c r="E1" i="14"/>
  <c r="F1" i="14"/>
  <c r="G1" i="14"/>
  <c r="H1" i="14"/>
  <c r="I1" i="14"/>
  <c r="J1" i="14"/>
  <c r="K1" i="14"/>
  <c r="L1" i="14"/>
  <c r="M1" i="14"/>
  <c r="N1" i="14"/>
  <c r="O1" i="14"/>
  <c r="P1" i="14"/>
  <c r="Q1" i="14"/>
  <c r="R1" i="14"/>
  <c r="S1" i="14"/>
  <c r="T1" i="14"/>
  <c r="U1" i="14"/>
  <c r="V1" i="14"/>
  <c r="W1" i="14"/>
  <c r="X1" i="14"/>
  <c r="Y1" i="14"/>
  <c r="Z1" i="14"/>
  <c r="AA1" i="14"/>
  <c r="AB1" i="14"/>
  <c r="AC1" i="14"/>
  <c r="AD1" i="14"/>
  <c r="AE1" i="14"/>
  <c r="AF1" i="14"/>
  <c r="AG1" i="14"/>
  <c r="B1" i="14"/>
  <c r="C1" i="13"/>
  <c r="D1" i="13"/>
  <c r="E1" i="13"/>
  <c r="F1" i="13"/>
  <c r="G1" i="13"/>
  <c r="H1" i="13"/>
  <c r="I1" i="13"/>
  <c r="J1" i="13"/>
  <c r="K1" i="13"/>
  <c r="L1" i="13"/>
  <c r="M1" i="13"/>
  <c r="N1" i="13"/>
  <c r="O1" i="13"/>
  <c r="P1" i="13"/>
  <c r="Q1" i="13"/>
  <c r="R1" i="13"/>
  <c r="S1" i="13"/>
  <c r="T1" i="13"/>
  <c r="U1" i="13"/>
  <c r="V1" i="13"/>
  <c r="W1" i="13"/>
  <c r="X1" i="13"/>
  <c r="Y1" i="13"/>
  <c r="Z1" i="13"/>
  <c r="AA1" i="13"/>
  <c r="AB1" i="13"/>
  <c r="AC1" i="13"/>
  <c r="AD1" i="13"/>
  <c r="AE1" i="13"/>
  <c r="AF1" i="13"/>
  <c r="AG1" i="13"/>
  <c r="B1" i="13"/>
  <c r="C1" i="12"/>
  <c r="D1" i="12"/>
  <c r="E1" i="12"/>
  <c r="F1" i="12"/>
  <c r="G1" i="12"/>
  <c r="H1" i="12"/>
  <c r="I1" i="12"/>
  <c r="J1" i="12"/>
  <c r="K1" i="12"/>
  <c r="L1" i="12"/>
  <c r="M1" i="12"/>
  <c r="N1" i="12"/>
  <c r="O1" i="12"/>
  <c r="P1" i="12"/>
  <c r="Q1" i="12"/>
  <c r="R1" i="12"/>
  <c r="S1" i="12"/>
  <c r="T1" i="12"/>
  <c r="U1" i="12"/>
  <c r="V1" i="12"/>
  <c r="W1" i="12"/>
  <c r="X1" i="12"/>
  <c r="Y1" i="12"/>
  <c r="Z1" i="12"/>
  <c r="AA1" i="12"/>
  <c r="AB1" i="12"/>
  <c r="AC1" i="12"/>
  <c r="AD1" i="12"/>
  <c r="AE1" i="12"/>
  <c r="AF1" i="12"/>
  <c r="AG1" i="12"/>
  <c r="B1" i="12"/>
  <c r="C1" i="11"/>
  <c r="D1" i="11"/>
  <c r="E1" i="11"/>
  <c r="F1" i="11"/>
  <c r="G1" i="11"/>
  <c r="H1" i="11"/>
  <c r="I1" i="11"/>
  <c r="J1" i="11"/>
  <c r="K1" i="11"/>
  <c r="L1" i="11"/>
  <c r="M1" i="11"/>
  <c r="N1" i="11"/>
  <c r="O1" i="11"/>
  <c r="P1" i="11"/>
  <c r="Q1" i="11"/>
  <c r="R1" i="11"/>
  <c r="S1" i="11"/>
  <c r="T1" i="11"/>
  <c r="U1" i="11"/>
  <c r="V1" i="11"/>
  <c r="W1" i="11"/>
  <c r="X1" i="11"/>
  <c r="Y1" i="11"/>
  <c r="Z1" i="11"/>
  <c r="AA1" i="11"/>
  <c r="AB1" i="11"/>
  <c r="AC1" i="11"/>
  <c r="AD1" i="11"/>
  <c r="AE1" i="11"/>
  <c r="AF1" i="11"/>
  <c r="AG1" i="11"/>
  <c r="B1" i="11"/>
  <c r="C1" i="10"/>
  <c r="D1" i="10"/>
  <c r="E1" i="10"/>
  <c r="F1" i="10"/>
  <c r="G1" i="10"/>
  <c r="H1" i="10"/>
  <c r="I1" i="10"/>
  <c r="J1" i="10"/>
  <c r="K1" i="10"/>
  <c r="L1" i="10"/>
  <c r="M1" i="10"/>
  <c r="N1" i="10"/>
  <c r="O1" i="10"/>
  <c r="P1" i="10"/>
  <c r="Q1" i="10"/>
  <c r="R1" i="10"/>
  <c r="S1" i="10"/>
  <c r="T1" i="10"/>
  <c r="U1" i="10"/>
  <c r="V1" i="10"/>
  <c r="W1" i="10"/>
  <c r="X1" i="10"/>
  <c r="Y1" i="10"/>
  <c r="Z1" i="10"/>
  <c r="AA1" i="10"/>
  <c r="AB1" i="10"/>
  <c r="AC1" i="10"/>
  <c r="AD1" i="10"/>
  <c r="AE1" i="10"/>
  <c r="AF1" i="10"/>
  <c r="AG1" i="10"/>
  <c r="B1" i="10"/>
  <c r="C1" i="9"/>
  <c r="D1" i="9"/>
  <c r="E1" i="9"/>
  <c r="F1" i="9"/>
  <c r="G1" i="9"/>
  <c r="H1" i="9"/>
  <c r="I1" i="9"/>
  <c r="J1" i="9"/>
  <c r="K1" i="9"/>
  <c r="L1" i="9"/>
  <c r="M1" i="9"/>
  <c r="N1" i="9"/>
  <c r="O1" i="9"/>
  <c r="P1" i="9"/>
  <c r="Q1" i="9"/>
  <c r="R1" i="9"/>
  <c r="S1" i="9"/>
  <c r="T1" i="9"/>
  <c r="U1" i="9"/>
  <c r="V1" i="9"/>
  <c r="W1" i="9"/>
  <c r="X1" i="9"/>
  <c r="Y1" i="9"/>
  <c r="Z1" i="9"/>
  <c r="AA1" i="9"/>
  <c r="AB1" i="9"/>
  <c r="AC1" i="9"/>
  <c r="AD1" i="9"/>
  <c r="AE1" i="9"/>
  <c r="AF1" i="9"/>
  <c r="AG1" i="9"/>
  <c r="B1" i="9"/>
  <c r="C1" i="8"/>
  <c r="D1" i="8"/>
  <c r="E1" i="8"/>
  <c r="F1" i="8"/>
  <c r="G1" i="8"/>
  <c r="H1" i="8"/>
  <c r="I1" i="8"/>
  <c r="J1" i="8"/>
  <c r="K1" i="8"/>
  <c r="L1" i="8"/>
  <c r="M1" i="8"/>
  <c r="N1" i="8"/>
  <c r="O1" i="8"/>
  <c r="P1" i="8"/>
  <c r="Q1" i="8"/>
  <c r="R1" i="8"/>
  <c r="S1" i="8"/>
  <c r="T1" i="8"/>
  <c r="U1" i="8"/>
  <c r="V1" i="8"/>
  <c r="W1" i="8"/>
  <c r="X1" i="8"/>
  <c r="Y1" i="8"/>
  <c r="Z1" i="8"/>
  <c r="AA1" i="8"/>
  <c r="AB1" i="8"/>
  <c r="AC1" i="8"/>
  <c r="AD1" i="8"/>
  <c r="AE1" i="8"/>
  <c r="AF1" i="8"/>
  <c r="AG1" i="8"/>
  <c r="B1" i="8"/>
  <c r="C1" i="2"/>
  <c r="D1" i="2"/>
  <c r="E1" i="2"/>
  <c r="F1" i="2"/>
  <c r="G1" i="2"/>
  <c r="H1" i="2"/>
  <c r="I1" i="2"/>
  <c r="J1" i="2"/>
  <c r="K1" i="2"/>
  <c r="L1" i="2"/>
  <c r="M1" i="2"/>
  <c r="N1" i="2"/>
  <c r="O1" i="2"/>
  <c r="P1" i="2"/>
  <c r="Q1" i="2"/>
  <c r="R1" i="2"/>
  <c r="S1" i="2"/>
  <c r="T1" i="2"/>
  <c r="U1" i="2"/>
  <c r="V1" i="2"/>
  <c r="W1" i="2"/>
  <c r="X1" i="2"/>
  <c r="Y1" i="2"/>
  <c r="Z1" i="2"/>
  <c r="AA1" i="2"/>
  <c r="AB1" i="2"/>
  <c r="AC1" i="2"/>
  <c r="AD1" i="2"/>
  <c r="AE1" i="2"/>
  <c r="AF1" i="2"/>
  <c r="AG1" i="2"/>
  <c r="B1" i="2"/>
  <c r="V15" i="74" l="1"/>
  <c r="V4" i="74" s="1"/>
  <c r="V6" i="74"/>
  <c r="X25" i="74"/>
  <c r="W16" i="74"/>
  <c r="W5" i="74" s="1"/>
  <c r="X24" i="74"/>
  <c r="W17" i="74"/>
  <c r="W15" i="74" l="1"/>
  <c r="W4" i="74" s="1"/>
  <c r="W6" i="74"/>
  <c r="Y24" i="74"/>
  <c r="X17" i="74"/>
  <c r="Y25" i="74"/>
  <c r="X16" i="74"/>
  <c r="X5" i="74" s="1"/>
  <c r="X15" i="74" l="1"/>
  <c r="X4" i="74" s="1"/>
  <c r="X6" i="74"/>
  <c r="Z25" i="74"/>
  <c r="Y16" i="74"/>
  <c r="Y5" i="74" s="1"/>
  <c r="Z24" i="74"/>
  <c r="Y17" i="74"/>
  <c r="Y15" i="74" l="1"/>
  <c r="Y4" i="74" s="1"/>
  <c r="Y6" i="74"/>
  <c r="AA24" i="74"/>
  <c r="Z17" i="74"/>
  <c r="AA25" i="74"/>
  <c r="Z16" i="74"/>
  <c r="Z5" i="74" s="1"/>
  <c r="B4" i="17"/>
  <c r="H4" i="17" s="1"/>
  <c r="O4" i="17"/>
  <c r="B5" i="15"/>
  <c r="M5" i="15" s="1"/>
  <c r="M4" i="15" s="1"/>
  <c r="B5" i="16"/>
  <c r="Q5" i="16" s="1"/>
  <c r="Z5" i="16"/>
  <c r="C5" i="16"/>
  <c r="M5" i="16"/>
  <c r="AA5" i="16"/>
  <c r="W5" i="16"/>
  <c r="O5" i="16"/>
  <c r="G5" i="16"/>
  <c r="N5" i="16"/>
  <c r="F5" i="16"/>
  <c r="E5" i="16"/>
  <c r="V5" i="16"/>
  <c r="AG5" i="16"/>
  <c r="AC5" i="16"/>
  <c r="U5" i="16"/>
  <c r="I5" i="16"/>
  <c r="AF5" i="16"/>
  <c r="AB5" i="16"/>
  <c r="T5" i="16"/>
  <c r="P5" i="16"/>
  <c r="L5" i="16"/>
  <c r="H5" i="16"/>
  <c r="AG5" i="14"/>
  <c r="AF5" i="14"/>
  <c r="AE5" i="14"/>
  <c r="AD5" i="14"/>
  <c r="AC5" i="14"/>
  <c r="AB5" i="14"/>
  <c r="AA5" i="14"/>
  <c r="Z5" i="14"/>
  <c r="Y5" i="14"/>
  <c r="X5" i="14"/>
  <c r="W5" i="14"/>
  <c r="V5" i="14"/>
  <c r="U5" i="14"/>
  <c r="T5" i="14"/>
  <c r="S5" i="14"/>
  <c r="R5" i="14"/>
  <c r="Q5" i="14"/>
  <c r="P5" i="14"/>
  <c r="O5" i="14"/>
  <c r="N5" i="14"/>
  <c r="M5" i="14"/>
  <c r="L5" i="14"/>
  <c r="K5" i="14"/>
  <c r="J5" i="14"/>
  <c r="I5" i="14"/>
  <c r="H5" i="14"/>
  <c r="G5" i="14"/>
  <c r="F5" i="14"/>
  <c r="E5" i="14"/>
  <c r="D5" i="14"/>
  <c r="C5" i="14"/>
  <c r="D5" i="13"/>
  <c r="E5" i="13"/>
  <c r="F5" i="13"/>
  <c r="G5" i="13"/>
  <c r="H5" i="13"/>
  <c r="I5" i="13"/>
  <c r="J5" i="13"/>
  <c r="K5" i="13"/>
  <c r="L5" i="13"/>
  <c r="M5" i="13"/>
  <c r="N5" i="13"/>
  <c r="O5" i="13"/>
  <c r="P5" i="13"/>
  <c r="Q5" i="13"/>
  <c r="R5" i="13"/>
  <c r="S5" i="13"/>
  <c r="T5" i="13"/>
  <c r="U5" i="13"/>
  <c r="V5" i="13"/>
  <c r="W5" i="13"/>
  <c r="X5" i="13"/>
  <c r="Y5" i="13"/>
  <c r="Z5" i="13"/>
  <c r="AA5" i="13"/>
  <c r="AB5" i="13"/>
  <c r="AC5" i="13"/>
  <c r="AD5" i="13"/>
  <c r="AE5" i="13"/>
  <c r="AF5" i="13"/>
  <c r="AG5" i="13"/>
  <c r="C5" i="13"/>
  <c r="B5" i="12"/>
  <c r="AG5" i="12" s="1"/>
  <c r="B5" i="11"/>
  <c r="G5" i="11" s="1"/>
  <c r="U5" i="11"/>
  <c r="AC5" i="11"/>
  <c r="AD5" i="12"/>
  <c r="T5" i="12"/>
  <c r="X5" i="12"/>
  <c r="Z15" i="74" l="1"/>
  <c r="Z4" i="74" s="1"/>
  <c r="Z6" i="74"/>
  <c r="AB25" i="74"/>
  <c r="AA16" i="74"/>
  <c r="AA5" i="74" s="1"/>
  <c r="AB24" i="74"/>
  <c r="AA17" i="74"/>
  <c r="AB5" i="15"/>
  <c r="AB4" i="15" s="1"/>
  <c r="Z5" i="12"/>
  <c r="Y5" i="12"/>
  <c r="R5" i="16"/>
  <c r="Y5" i="16"/>
  <c r="AD5" i="15"/>
  <c r="AD4" i="15" s="1"/>
  <c r="S5" i="15"/>
  <c r="S4" i="15" s="1"/>
  <c r="E5" i="15"/>
  <c r="E4" i="15" s="1"/>
  <c r="AC5" i="15"/>
  <c r="AC4" i="15" s="1"/>
  <c r="R5" i="15"/>
  <c r="R4" i="15" s="1"/>
  <c r="D5" i="15"/>
  <c r="D4" i="15" s="1"/>
  <c r="AE5" i="12"/>
  <c r="M5" i="11"/>
  <c r="S5" i="16"/>
  <c r="D5" i="16"/>
  <c r="AA5" i="15"/>
  <c r="AA4" i="15" s="1"/>
  <c r="G5" i="15"/>
  <c r="G4" i="15" s="1"/>
  <c r="B4" i="15"/>
  <c r="AA5" i="12"/>
  <c r="E5" i="11"/>
  <c r="Z5" i="15"/>
  <c r="Z4" i="15" s="1"/>
  <c r="L5" i="15"/>
  <c r="L4" i="15" s="1"/>
  <c r="N5" i="15"/>
  <c r="N4" i="15" s="1"/>
  <c r="C5" i="15"/>
  <c r="C4" i="15" s="1"/>
  <c r="V5" i="15"/>
  <c r="V4" i="15" s="1"/>
  <c r="K5" i="15"/>
  <c r="K4" i="15" s="1"/>
  <c r="J5" i="16"/>
  <c r="AE5" i="16"/>
  <c r="U5" i="15"/>
  <c r="U4" i="15" s="1"/>
  <c r="J5" i="15"/>
  <c r="J4" i="15" s="1"/>
  <c r="AC5" i="12"/>
  <c r="T5" i="15"/>
  <c r="T4" i="15" s="1"/>
  <c r="F5" i="15"/>
  <c r="F4" i="15" s="1"/>
  <c r="H2" i="14"/>
  <c r="H2" i="13"/>
  <c r="H2" i="16"/>
  <c r="H2" i="12"/>
  <c r="B2" i="11"/>
  <c r="B2" i="13"/>
  <c r="B2" i="15"/>
  <c r="B2" i="16"/>
  <c r="B2" i="12"/>
  <c r="B2" i="14"/>
  <c r="N4" i="17"/>
  <c r="G4" i="17"/>
  <c r="F4" i="17"/>
  <c r="AD4" i="17"/>
  <c r="AE4" i="17"/>
  <c r="W4" i="17"/>
  <c r="V4" i="17"/>
  <c r="AC4" i="17"/>
  <c r="U4" i="17"/>
  <c r="M4" i="17"/>
  <c r="E4" i="17"/>
  <c r="AB4" i="17"/>
  <c r="K4" i="17"/>
  <c r="C4" i="17"/>
  <c r="L4" i="17"/>
  <c r="Z4" i="17"/>
  <c r="R4" i="17"/>
  <c r="J4" i="17"/>
  <c r="AG4" i="17"/>
  <c r="Y4" i="17"/>
  <c r="Q4" i="17"/>
  <c r="I4" i="17"/>
  <c r="T4" i="17"/>
  <c r="D4" i="17"/>
  <c r="AA4" i="17"/>
  <c r="S4" i="17"/>
  <c r="AF4" i="17"/>
  <c r="X4" i="17"/>
  <c r="P4" i="17"/>
  <c r="AD5" i="16"/>
  <c r="X5" i="16"/>
  <c r="K5" i="16"/>
  <c r="I5" i="15"/>
  <c r="I4" i="15" s="1"/>
  <c r="Y5" i="15"/>
  <c r="Y4" i="15" s="1"/>
  <c r="AF5" i="15"/>
  <c r="AF4" i="15" s="1"/>
  <c r="P5" i="15"/>
  <c r="P4" i="15" s="1"/>
  <c r="H5" i="15"/>
  <c r="H4" i="15" s="1"/>
  <c r="AG5" i="15"/>
  <c r="AG4" i="15" s="1"/>
  <c r="Q5" i="15"/>
  <c r="Q4" i="15" s="1"/>
  <c r="X5" i="15"/>
  <c r="X4" i="15" s="1"/>
  <c r="AE5" i="15"/>
  <c r="AE4" i="15" s="1"/>
  <c r="W5" i="15"/>
  <c r="W4" i="15" s="1"/>
  <c r="O5" i="15"/>
  <c r="O4" i="15" s="1"/>
  <c r="P5" i="12"/>
  <c r="S5" i="12"/>
  <c r="Q5" i="12"/>
  <c r="U5" i="12"/>
  <c r="L5" i="12"/>
  <c r="I5" i="12"/>
  <c r="V5" i="12"/>
  <c r="H5" i="12"/>
  <c r="E5" i="12"/>
  <c r="W5" i="12"/>
  <c r="R5" i="12"/>
  <c r="O5" i="12"/>
  <c r="N5" i="12"/>
  <c r="M5" i="12"/>
  <c r="D5" i="12"/>
  <c r="K5" i="12"/>
  <c r="J5" i="12"/>
  <c r="AF5" i="12"/>
  <c r="G5" i="12"/>
  <c r="C5" i="12"/>
  <c r="F5" i="12"/>
  <c r="AB5" i="12"/>
  <c r="AD5" i="11"/>
  <c r="V5" i="11"/>
  <c r="N5" i="11"/>
  <c r="F5" i="11"/>
  <c r="C5" i="11"/>
  <c r="AB5" i="11"/>
  <c r="T5" i="11"/>
  <c r="L5" i="11"/>
  <c r="D5" i="11"/>
  <c r="AA5" i="11"/>
  <c r="Z5" i="11"/>
  <c r="R5" i="11"/>
  <c r="J5" i="11"/>
  <c r="K5" i="11"/>
  <c r="AG5" i="11"/>
  <c r="Y5" i="11"/>
  <c r="Q5" i="11"/>
  <c r="I5" i="11"/>
  <c r="S5" i="11"/>
  <c r="AF5" i="11"/>
  <c r="X5" i="11"/>
  <c r="P5" i="11"/>
  <c r="H5" i="11"/>
  <c r="H2" i="11" s="1"/>
  <c r="AE5" i="11"/>
  <c r="W5" i="11"/>
  <c r="O5" i="11"/>
  <c r="AA15" i="74" l="1"/>
  <c r="AA4" i="74" s="1"/>
  <c r="AA6" i="74"/>
  <c r="AC24" i="74"/>
  <c r="AB17" i="74"/>
  <c r="AC25" i="74"/>
  <c r="AB16" i="74"/>
  <c r="AB5" i="74" s="1"/>
  <c r="H2" i="15"/>
  <c r="AC2" i="14"/>
  <c r="AC2" i="15"/>
  <c r="W2" i="15"/>
  <c r="F2" i="12"/>
  <c r="O2" i="12"/>
  <c r="T2" i="11"/>
  <c r="E2" i="13"/>
  <c r="T2" i="15"/>
  <c r="AF2" i="11"/>
  <c r="T2" i="16"/>
  <c r="V2" i="16"/>
  <c r="D2" i="16"/>
  <c r="AA2" i="13"/>
  <c r="AD2" i="12"/>
  <c r="D2" i="11"/>
  <c r="AD2" i="13"/>
  <c r="P2" i="16"/>
  <c r="AC2" i="13"/>
  <c r="W2" i="11"/>
  <c r="U2" i="14"/>
  <c r="E2" i="15"/>
  <c r="AC2" i="16"/>
  <c r="T2" i="12"/>
  <c r="AD2" i="16"/>
  <c r="F2" i="16"/>
  <c r="J2" i="16"/>
  <c r="P2" i="15"/>
  <c r="Y2" i="15"/>
  <c r="J2" i="13"/>
  <c r="O2" i="14"/>
  <c r="G2" i="13"/>
  <c r="AD2" i="14"/>
  <c r="Y2" i="11"/>
  <c r="S2" i="15"/>
  <c r="I2" i="15"/>
  <c r="C2" i="11"/>
  <c r="G2" i="14"/>
  <c r="W2" i="16"/>
  <c r="Q2" i="15"/>
  <c r="R2" i="11"/>
  <c r="I2" i="14"/>
  <c r="AC2" i="11"/>
  <c r="W2" i="14"/>
  <c r="N2" i="16"/>
  <c r="R2" i="12"/>
  <c r="U2" i="11"/>
  <c r="AA2" i="11"/>
  <c r="V2" i="12"/>
  <c r="N2" i="12"/>
  <c r="AB2" i="11"/>
  <c r="AG2" i="12"/>
  <c r="M2" i="13"/>
  <c r="C2" i="13"/>
  <c r="L2" i="12"/>
  <c r="AA2" i="12"/>
  <c r="Z2" i="13"/>
  <c r="Y2" i="12"/>
  <c r="Q2" i="11"/>
  <c r="X2" i="16"/>
  <c r="E2" i="11"/>
  <c r="J2" i="15"/>
  <c r="K2" i="14"/>
  <c r="R2" i="14"/>
  <c r="AF2" i="16"/>
  <c r="AB2" i="13"/>
  <c r="I2" i="11"/>
  <c r="AE2" i="11"/>
  <c r="AG2" i="13"/>
  <c r="S2" i="11"/>
  <c r="O2" i="13"/>
  <c r="AG2" i="16"/>
  <c r="M2" i="12"/>
  <c r="L2" i="16"/>
  <c r="AA2" i="16"/>
  <c r="Z2" i="15"/>
  <c r="Y2" i="16"/>
  <c r="Q2" i="13"/>
  <c r="X2" i="14"/>
  <c r="E2" i="14"/>
  <c r="J2" i="12"/>
  <c r="K2" i="13"/>
  <c r="R2" i="15"/>
  <c r="AF2" i="13"/>
  <c r="AB2" i="15"/>
  <c r="I2" i="13"/>
  <c r="AE2" i="15"/>
  <c r="Q2" i="14"/>
  <c r="AF2" i="14"/>
  <c r="O2" i="11"/>
  <c r="AG2" i="14"/>
  <c r="C2" i="15"/>
  <c r="L2" i="13"/>
  <c r="G2" i="16"/>
  <c r="V2" i="14"/>
  <c r="AD2" i="15"/>
  <c r="Z2" i="14"/>
  <c r="F2" i="13"/>
  <c r="Y2" i="13"/>
  <c r="X2" i="15"/>
  <c r="N2" i="14"/>
  <c r="E2" i="12"/>
  <c r="K2" i="15"/>
  <c r="S2" i="12"/>
  <c r="R2" i="16"/>
  <c r="D2" i="13"/>
  <c r="P2" i="13"/>
  <c r="AB2" i="16"/>
  <c r="AE2" i="16"/>
  <c r="U2" i="15"/>
  <c r="M2" i="16"/>
  <c r="AB2" i="12"/>
  <c r="O2" i="16"/>
  <c r="M2" i="11"/>
  <c r="C2" i="14"/>
  <c r="L2" i="11"/>
  <c r="G2" i="11"/>
  <c r="V2" i="15"/>
  <c r="AD2" i="11"/>
  <c r="Z2" i="11"/>
  <c r="F2" i="14"/>
  <c r="Y2" i="14"/>
  <c r="X2" i="13"/>
  <c r="N2" i="13"/>
  <c r="E2" i="16"/>
  <c r="K2" i="12"/>
  <c r="S2" i="16"/>
  <c r="R2" i="13"/>
  <c r="D2" i="15"/>
  <c r="P2" i="11"/>
  <c r="AB2" i="14"/>
  <c r="AE2" i="13"/>
  <c r="U2" i="13"/>
  <c r="O2" i="15"/>
  <c r="M2" i="14"/>
  <c r="C2" i="12"/>
  <c r="T2" i="13"/>
  <c r="L2" i="14"/>
  <c r="G2" i="12"/>
  <c r="AA2" i="15"/>
  <c r="V2" i="13"/>
  <c r="W2" i="12"/>
  <c r="Z2" i="12"/>
  <c r="F2" i="15"/>
  <c r="Q2" i="12"/>
  <c r="X2" i="11"/>
  <c r="N2" i="15"/>
  <c r="J2" i="14"/>
  <c r="K2" i="16"/>
  <c r="S2" i="14"/>
  <c r="AF2" i="15"/>
  <c r="D2" i="14"/>
  <c r="P2" i="14"/>
  <c r="I2" i="12"/>
  <c r="AE2" i="14"/>
  <c r="U2" i="12"/>
  <c r="AG2" i="11"/>
  <c r="AC2" i="12"/>
  <c r="AG2" i="15"/>
  <c r="M2" i="15"/>
  <c r="C2" i="16"/>
  <c r="T2" i="14"/>
  <c r="L2" i="15"/>
  <c r="G2" i="15"/>
  <c r="AA2" i="14"/>
  <c r="V2" i="11"/>
  <c r="W2" i="13"/>
  <c r="Z2" i="16"/>
  <c r="F2" i="11"/>
  <c r="Q2" i="16"/>
  <c r="X2" i="12"/>
  <c r="N2" i="11"/>
  <c r="J2" i="11"/>
  <c r="K2" i="11"/>
  <c r="S2" i="13"/>
  <c r="AF2" i="12"/>
  <c r="D2" i="12"/>
  <c r="P2" i="12"/>
  <c r="I2" i="16"/>
  <c r="AE2" i="12"/>
  <c r="U2" i="16"/>
  <c r="AB15" i="74" l="1"/>
  <c r="AB4" i="74" s="1"/>
  <c r="AB6" i="74"/>
  <c r="AD25" i="74"/>
  <c r="AC16" i="74"/>
  <c r="AC5" i="74" s="1"/>
  <c r="AD24" i="74"/>
  <c r="AC17" i="74"/>
  <c r="AC15" i="74" l="1"/>
  <c r="AC4" i="74" s="1"/>
  <c r="AC6" i="74"/>
  <c r="AE24" i="74"/>
  <c r="AD17" i="74"/>
  <c r="AE25" i="74"/>
  <c r="AD16" i="74"/>
  <c r="AD5" i="74" s="1"/>
  <c r="AE8" i="14"/>
  <c r="AF8" i="11"/>
  <c r="Q8" i="11"/>
  <c r="U8" i="14"/>
  <c r="Y8" i="16"/>
  <c r="AG8" i="14"/>
  <c r="L8" i="15"/>
  <c r="W8" i="14"/>
  <c r="X8" i="15"/>
  <c r="P8" i="13"/>
  <c r="P8" i="11"/>
  <c r="P8" i="14"/>
  <c r="P8" i="16"/>
  <c r="P8" i="12"/>
  <c r="P8" i="15"/>
  <c r="C8" i="16"/>
  <c r="C8" i="12"/>
  <c r="C8" i="15"/>
  <c r="C8" i="13"/>
  <c r="C8" i="14"/>
  <c r="C8" i="11"/>
  <c r="J8" i="14"/>
  <c r="J8" i="16"/>
  <c r="J8" i="12"/>
  <c r="J8" i="15"/>
  <c r="J8" i="11"/>
  <c r="J8" i="13"/>
  <c r="AB8" i="15"/>
  <c r="AB8" i="16"/>
  <c r="AB8" i="14"/>
  <c r="AB8" i="13"/>
  <c r="AB8" i="11"/>
  <c r="AB8" i="12"/>
  <c r="M8" i="15"/>
  <c r="M8" i="12"/>
  <c r="M8" i="16"/>
  <c r="M8" i="14"/>
  <c r="M8" i="13"/>
  <c r="M8" i="11"/>
  <c r="R8" i="16"/>
  <c r="R8" i="12"/>
  <c r="R8" i="15"/>
  <c r="R8" i="11"/>
  <c r="R8" i="14"/>
  <c r="R8" i="13"/>
  <c r="B8" i="16"/>
  <c r="B8" i="12"/>
  <c r="B8" i="14"/>
  <c r="B8" i="15"/>
  <c r="B8" i="13"/>
  <c r="B8" i="11"/>
  <c r="D8" i="13"/>
  <c r="D8" i="16"/>
  <c r="D8" i="15"/>
  <c r="D8" i="14"/>
  <c r="D8" i="11"/>
  <c r="D8" i="12"/>
  <c r="AD8" i="14"/>
  <c r="AD8" i="15"/>
  <c r="AD8" i="13"/>
  <c r="AD8" i="12"/>
  <c r="AD8" i="16"/>
  <c r="AD8" i="11"/>
  <c r="X8" i="13"/>
  <c r="X8" i="11"/>
  <c r="I8" i="13"/>
  <c r="I8" i="16"/>
  <c r="I8" i="12"/>
  <c r="I8" i="11"/>
  <c r="I8" i="15"/>
  <c r="I8" i="14"/>
  <c r="T8" i="11"/>
  <c r="T8" i="15"/>
  <c r="T8" i="14"/>
  <c r="T8" i="13"/>
  <c r="T8" i="16"/>
  <c r="T8" i="12"/>
  <c r="E8" i="15"/>
  <c r="E8" i="16"/>
  <c r="E8" i="12"/>
  <c r="E8" i="11"/>
  <c r="E8" i="14"/>
  <c r="E8" i="13"/>
  <c r="V8" i="14"/>
  <c r="V8" i="12"/>
  <c r="V8" i="13"/>
  <c r="V8" i="15"/>
  <c r="V8" i="16"/>
  <c r="V8" i="11"/>
  <c r="O8" i="14"/>
  <c r="O8" i="11"/>
  <c r="O8" i="13"/>
  <c r="O8" i="16"/>
  <c r="O8" i="12"/>
  <c r="O8" i="15"/>
  <c r="AC8" i="15"/>
  <c r="AC8" i="12"/>
  <c r="AC8" i="11"/>
  <c r="AC8" i="14"/>
  <c r="AC8" i="13"/>
  <c r="AC8" i="16"/>
  <c r="H8" i="14"/>
  <c r="H8" i="13"/>
  <c r="H8" i="11"/>
  <c r="H8" i="16"/>
  <c r="H8" i="12"/>
  <c r="H8" i="15"/>
  <c r="Y8" i="14"/>
  <c r="N8" i="14"/>
  <c r="N8" i="16"/>
  <c r="N8" i="13"/>
  <c r="N8" i="12"/>
  <c r="N8" i="15"/>
  <c r="N8" i="11"/>
  <c r="G8" i="14"/>
  <c r="G8" i="11"/>
  <c r="G8" i="15"/>
  <c r="G8" i="13"/>
  <c r="G8" i="16"/>
  <c r="G8" i="12"/>
  <c r="Z8" i="16"/>
  <c r="Z8" i="12"/>
  <c r="Z8" i="15"/>
  <c r="Z8" i="11"/>
  <c r="Z8" i="14"/>
  <c r="Z8" i="13"/>
  <c r="F8" i="12"/>
  <c r="F8" i="14"/>
  <c r="F8" i="15"/>
  <c r="F8" i="13"/>
  <c r="F8" i="16"/>
  <c r="F8" i="11"/>
  <c r="U8" i="15"/>
  <c r="AA8" i="16"/>
  <c r="AA8" i="12"/>
  <c r="AA8" i="13"/>
  <c r="AA8" i="15"/>
  <c r="AA8" i="14"/>
  <c r="AA8" i="11"/>
  <c r="S8" i="16"/>
  <c r="S8" i="12"/>
  <c r="S8" i="15"/>
  <c r="S8" i="14"/>
  <c r="S8" i="11"/>
  <c r="S8" i="13"/>
  <c r="K8" i="16"/>
  <c r="K8" i="12"/>
  <c r="K8" i="13"/>
  <c r="K8" i="15"/>
  <c r="K8" i="14"/>
  <c r="K8" i="11"/>
  <c r="AD15" i="74" l="1"/>
  <c r="AD4" i="74" s="1"/>
  <c r="AD6" i="74"/>
  <c r="AF25" i="74"/>
  <c r="AF16" i="74" s="1"/>
  <c r="AF5" i="74" s="1"/>
  <c r="AE16" i="74"/>
  <c r="AE5" i="74" s="1"/>
  <c r="AF24" i="74"/>
  <c r="AF17" i="74" s="1"/>
  <c r="AE17" i="74"/>
  <c r="Y8" i="13"/>
  <c r="AE8" i="16"/>
  <c r="AE8" i="12"/>
  <c r="AE8" i="13"/>
  <c r="AE8" i="15"/>
  <c r="AE8" i="11"/>
  <c r="AG8" i="13"/>
  <c r="AF8" i="14"/>
  <c r="AF8" i="16"/>
  <c r="AF8" i="13"/>
  <c r="AF8" i="12"/>
  <c r="AF8" i="15"/>
  <c r="AG8" i="15"/>
  <c r="AG8" i="11"/>
  <c r="Q8" i="16"/>
  <c r="Q8" i="14"/>
  <c r="Q8" i="12"/>
  <c r="Q8" i="15"/>
  <c r="Q8" i="13"/>
  <c r="U8" i="12"/>
  <c r="U8" i="13"/>
  <c r="U8" i="11"/>
  <c r="U8" i="16"/>
  <c r="W8" i="12"/>
  <c r="W8" i="16"/>
  <c r="W8" i="15"/>
  <c r="W8" i="13"/>
  <c r="Y8" i="15"/>
  <c r="X8" i="14"/>
  <c r="W8" i="11"/>
  <c r="Y8" i="11"/>
  <c r="X8" i="12"/>
  <c r="Y8" i="12"/>
  <c r="X8" i="16"/>
  <c r="L8" i="12"/>
  <c r="AG8" i="12"/>
  <c r="AG8" i="16"/>
  <c r="L8" i="16"/>
  <c r="L8" i="14"/>
  <c r="L8" i="11"/>
  <c r="L8" i="13"/>
  <c r="AE15" i="74" l="1"/>
  <c r="AE4" i="74" s="1"/>
  <c r="AE6" i="74"/>
  <c r="AF15" i="74"/>
  <c r="AF4" i="74" s="1"/>
  <c r="AF6" i="74"/>
  <c r="D3" i="46"/>
  <c r="H8" i="44" l="1"/>
  <c r="U8" i="44"/>
  <c r="AE8" i="44"/>
  <c r="B4" i="2"/>
  <c r="B2" i="17" s="1"/>
  <c r="AB8" i="44"/>
  <c r="F8" i="44"/>
  <c r="AF8" i="44"/>
  <c r="Z8" i="44"/>
  <c r="M8" i="44"/>
  <c r="AC8" i="44"/>
  <c r="G8" i="44"/>
  <c r="K8" i="44"/>
  <c r="AI8" i="44"/>
  <c r="R8" i="44"/>
  <c r="Y8" i="44"/>
  <c r="C8" i="44"/>
  <c r="C7" i="44" s="1"/>
  <c r="S8" i="44"/>
  <c r="P8" i="44"/>
  <c r="E8" i="44"/>
  <c r="AH8" i="44"/>
  <c r="O8" i="44"/>
  <c r="AG8" i="44"/>
  <c r="W8" i="44"/>
  <c r="Q8" i="44"/>
  <c r="D8" i="44"/>
  <c r="V8" i="44"/>
  <c r="T8" i="44"/>
  <c r="B8" i="44"/>
  <c r="B7" i="44" s="1"/>
  <c r="I8" i="44"/>
  <c r="N8" i="44"/>
  <c r="L8" i="44"/>
  <c r="X8" i="44"/>
  <c r="AA8" i="44"/>
  <c r="J8" i="44"/>
  <c r="AD8" i="44"/>
  <c r="E3" i="46"/>
  <c r="C4" i="2" s="1"/>
  <c r="X7" i="44" l="1"/>
  <c r="V6" i="2" s="1"/>
  <c r="F7" i="44"/>
  <c r="D6" i="2" s="1"/>
  <c r="Z7" i="44"/>
  <c r="X6" i="2" s="1"/>
  <c r="Y7" i="44"/>
  <c r="W6" i="2" s="1"/>
  <c r="R7" i="44"/>
  <c r="P6" i="2" s="1"/>
  <c r="O7" i="44"/>
  <c r="M6" i="2" s="1"/>
  <c r="AB7" i="44"/>
  <c r="Z6" i="2" s="1"/>
  <c r="AF7" i="44"/>
  <c r="AD6" i="2" s="1"/>
  <c r="I7" i="44"/>
  <c r="G6" i="2" s="1"/>
  <c r="Q7" i="44"/>
  <c r="O6" i="2" s="1"/>
  <c r="L7" i="44"/>
  <c r="J6" i="2" s="1"/>
  <c r="AG7" i="44"/>
  <c r="AE6" i="2" s="1"/>
  <c r="AI7" i="44"/>
  <c r="AG6" i="2" s="1"/>
  <c r="AH7" i="44"/>
  <c r="AF6" i="2" s="1"/>
  <c r="AD7" i="44"/>
  <c r="AB6" i="2" s="1"/>
  <c r="G7" i="44"/>
  <c r="E6" i="2" s="1"/>
  <c r="AE7" i="44"/>
  <c r="AC6" i="2" s="1"/>
  <c r="K7" i="44"/>
  <c r="I6" i="2" s="1"/>
  <c r="T7" i="44"/>
  <c r="R6" i="2" s="1"/>
  <c r="P7" i="44"/>
  <c r="N6" i="2" s="1"/>
  <c r="U7" i="44"/>
  <c r="S6" i="2" s="1"/>
  <c r="W7" i="44"/>
  <c r="U6" i="2" s="1"/>
  <c r="N7" i="44"/>
  <c r="L6" i="2" s="1"/>
  <c r="E7" i="44"/>
  <c r="C6" i="2" s="1"/>
  <c r="J7" i="44"/>
  <c r="H6" i="2" s="1"/>
  <c r="V7" i="44"/>
  <c r="T6" i="2" s="1"/>
  <c r="AC7" i="44"/>
  <c r="AA6" i="2" s="1"/>
  <c r="AA7" i="44"/>
  <c r="Y6" i="2" s="1"/>
  <c r="D7" i="44"/>
  <c r="B6" i="2" s="1"/>
  <c r="S7" i="44"/>
  <c r="Q6" i="2" s="1"/>
  <c r="M7" i="44"/>
  <c r="K6" i="2" s="1"/>
  <c r="H7" i="44"/>
  <c r="F6" i="2" s="1"/>
  <c r="D2" i="17"/>
  <c r="C2" i="17"/>
  <c r="F3" i="46"/>
  <c r="D4" i="2" s="1"/>
  <c r="G3" i="46" l="1"/>
  <c r="E4" i="2" s="1"/>
  <c r="E2" i="17" s="1"/>
  <c r="H3" i="46" l="1"/>
  <c r="F4" i="2" s="1"/>
  <c r="F2" i="17" s="1"/>
  <c r="I3" i="46" l="1"/>
  <c r="G4" i="2" s="1"/>
  <c r="G2" i="17" s="1"/>
  <c r="L4" i="46" l="1"/>
  <c r="L3" i="46" s="1"/>
  <c r="J4" i="2" s="1"/>
  <c r="J2" i="17" s="1"/>
  <c r="K4" i="46"/>
  <c r="K3" i="46" s="1"/>
  <c r="I4" i="2" s="1"/>
  <c r="I2" i="17" s="1"/>
  <c r="N4" i="46"/>
  <c r="N3" i="46" s="1"/>
  <c r="L4" i="2" s="1"/>
  <c r="L2" i="17" s="1"/>
  <c r="M4" i="46"/>
  <c r="M3" i="46" s="1"/>
  <c r="K4" i="2" s="1"/>
  <c r="K2" i="17" s="1"/>
  <c r="J3" i="46"/>
  <c r="H4" i="2" s="1"/>
  <c r="H2" i="17" s="1"/>
  <c r="O4" i="46"/>
  <c r="O3" i="46" l="1"/>
  <c r="M4" i="2" s="1"/>
  <c r="M2" i="17" s="1"/>
  <c r="P4" i="46"/>
  <c r="P3" i="46" l="1"/>
  <c r="N4" i="2" s="1"/>
  <c r="N2" i="17" s="1"/>
  <c r="Q4" i="46"/>
  <c r="R4" i="46" l="1"/>
  <c r="Q3" i="46"/>
  <c r="O4" i="2" s="1"/>
  <c r="O2" i="17" s="1"/>
  <c r="S4" i="46" l="1"/>
  <c r="R3" i="46"/>
  <c r="P4" i="2" s="1"/>
  <c r="P2" i="17" s="1"/>
  <c r="S3" i="46" l="1"/>
  <c r="Q4" i="2" s="1"/>
  <c r="Q2" i="17" s="1"/>
  <c r="T4" i="46"/>
  <c r="U4" i="46" l="1"/>
  <c r="T3" i="46"/>
  <c r="R4" i="2" s="1"/>
  <c r="R2" i="17" s="1"/>
  <c r="U3" i="46" l="1"/>
  <c r="S4" i="2" s="1"/>
  <c r="S2" i="17" s="1"/>
  <c r="V4" i="46"/>
  <c r="V3" i="46" l="1"/>
  <c r="T4" i="2" s="1"/>
  <c r="T2" i="17" s="1"/>
  <c r="W4" i="46"/>
  <c r="W3" i="46" l="1"/>
  <c r="U4" i="2" s="1"/>
  <c r="U2" i="17" s="1"/>
  <c r="X4" i="46"/>
  <c r="X3" i="46" l="1"/>
  <c r="V4" i="2" s="1"/>
  <c r="V2" i="17" s="1"/>
  <c r="Y4" i="46"/>
  <c r="Z4" i="46" l="1"/>
  <c r="Y3" i="46"/>
  <c r="W4" i="2" s="1"/>
  <c r="W2" i="17" s="1"/>
  <c r="AA4" i="46" l="1"/>
  <c r="Z3" i="46"/>
  <c r="X4" i="2" s="1"/>
  <c r="X2" i="17" s="1"/>
  <c r="AA3" i="46" l="1"/>
  <c r="Y4" i="2" s="1"/>
  <c r="Y2" i="17" s="1"/>
  <c r="AB4" i="46"/>
  <c r="AB3" i="46" l="1"/>
  <c r="Z4" i="2" s="1"/>
  <c r="Z2" i="17" s="1"/>
  <c r="AC4" i="46"/>
  <c r="AC3" i="46" l="1"/>
  <c r="AA4" i="2" s="1"/>
  <c r="AA2" i="17" s="1"/>
  <c r="AD4" i="46"/>
  <c r="AE4" i="46" l="1"/>
  <c r="AD3" i="46"/>
  <c r="AB4" i="2" s="1"/>
  <c r="AB2" i="17" s="1"/>
  <c r="AF4" i="46" l="1"/>
  <c r="AE3" i="46"/>
  <c r="AC4" i="2" s="1"/>
  <c r="AC2" i="17" s="1"/>
  <c r="AG4" i="46" l="1"/>
  <c r="AF3" i="46"/>
  <c r="AD4" i="2" s="1"/>
  <c r="AD2" i="17" s="1"/>
  <c r="AG3" i="46" l="1"/>
  <c r="AE4" i="2" s="1"/>
  <c r="AE2" i="17" s="1"/>
  <c r="AH4" i="46"/>
  <c r="AI4" i="46" l="1"/>
  <c r="AI3" i="46" s="1"/>
  <c r="AG4" i="2" s="1"/>
  <c r="AG2" i="17" s="1"/>
  <c r="AH3" i="46"/>
  <c r="AF4" i="2" s="1"/>
  <c r="AF2" i="17" s="1"/>
</calcChain>
</file>

<file path=xl/sharedStrings.xml><?xml version="1.0" encoding="utf-8"?>
<sst xmlns="http://schemas.openxmlformats.org/spreadsheetml/2006/main" count="2576" uniqueCount="1371">
  <si>
    <t>battery electric vehicle</t>
  </si>
  <si>
    <t>natural gas vehicle</t>
  </si>
  <si>
    <t>gasoline vehicle</t>
  </si>
  <si>
    <t>diesel vehicle</t>
  </si>
  <si>
    <t>plugin hybrid vehicle</t>
  </si>
  <si>
    <t>Notes</t>
  </si>
  <si>
    <t>LDVs</t>
  </si>
  <si>
    <t>HDVs</t>
  </si>
  <si>
    <t>aircraft</t>
  </si>
  <si>
    <t>rail</t>
  </si>
  <si>
    <t>ships</t>
  </si>
  <si>
    <t>motorbikes</t>
  </si>
  <si>
    <t>- -</t>
  </si>
  <si>
    <t/>
  </si>
  <si>
    <t>Release Date</t>
  </si>
  <si>
    <t>Datekey</t>
  </si>
  <si>
    <t>Reference case</t>
  </si>
  <si>
    <t>Scenario</t>
  </si>
  <si>
    <t>Report</t>
  </si>
  <si>
    <t>EIA</t>
  </si>
  <si>
    <t>https://www.eia.gov/outlooks/aeo/tables_ref.cfm</t>
  </si>
  <si>
    <t>BNVP BAU New Vehicle Price</t>
  </si>
  <si>
    <t>Sources:</t>
  </si>
  <si>
    <t>Any vehicle types / cargo type / technology combinations that cannot exist</t>
  </si>
  <si>
    <t>(defined as having zero for all years in the variable MPNVbT) are assigned a</t>
  </si>
  <si>
    <t>price of zero in this variable.</t>
  </si>
  <si>
    <t xml:space="preserve">    Light Duty Vehicles</t>
  </si>
  <si>
    <t>LDP000:wa_LightDutyVehi</t>
  </si>
  <si>
    <t xml:space="preserve">  Trucks</t>
  </si>
  <si>
    <t>LDP000:wa_Trucks</t>
  </si>
  <si>
    <t xml:space="preserve">  Cars</t>
  </si>
  <si>
    <t>LDP000:wa_Cars</t>
  </si>
  <si>
    <t>Average Price</t>
  </si>
  <si>
    <t xml:space="preserve">  Large Utility</t>
  </si>
  <si>
    <t>LDP000:va_LargeUtility</t>
  </si>
  <si>
    <t xml:space="preserve">  Small Utility</t>
  </si>
  <si>
    <t>LDP000:va_SmallUtility</t>
  </si>
  <si>
    <t xml:space="preserve">  Large Van</t>
  </si>
  <si>
    <t>LDP000:va_LargeVan</t>
  </si>
  <si>
    <t xml:space="preserve">  Small Van</t>
  </si>
  <si>
    <t>LDP000:va_SmallVan</t>
  </si>
  <si>
    <t xml:space="preserve">  Large Pickup</t>
  </si>
  <si>
    <t>LDP000:va_LargePickup</t>
  </si>
  <si>
    <t xml:space="preserve">  Small Pickup</t>
  </si>
  <si>
    <t>LDP000:va_SmallPickup</t>
  </si>
  <si>
    <t xml:space="preserve">  Two Seater Cars</t>
  </si>
  <si>
    <t>LDP000:va_TwoSeaterCars</t>
  </si>
  <si>
    <t xml:space="preserve">  Large Cars</t>
  </si>
  <si>
    <t>LDP000:va_LargeCars</t>
  </si>
  <si>
    <t xml:space="preserve">  Midsize Cars</t>
  </si>
  <si>
    <t>LDP000:va_MidsizeCars</t>
  </si>
  <si>
    <t xml:space="preserve">  Compact Cars</t>
  </si>
  <si>
    <t>LDP000:va_CompactCars</t>
  </si>
  <si>
    <t xml:space="preserve">  Subcompact Cars</t>
  </si>
  <si>
    <t>LDP000:va_SubcompactCar</t>
  </si>
  <si>
    <t xml:space="preserve">  Mini-compact Cars</t>
  </si>
  <si>
    <t>LDP000:va_Mini-compactC</t>
  </si>
  <si>
    <t>LDP000:ta_LargeUtility</t>
  </si>
  <si>
    <t>LDP000:ta_SmallUtility</t>
  </si>
  <si>
    <t>LDP000:ta_LargeVan</t>
  </si>
  <si>
    <t>LDP000:ta_SmallVan</t>
  </si>
  <si>
    <t>LDP000:ta_LargePickup</t>
  </si>
  <si>
    <t>LDP000:ta_SmallPickup</t>
  </si>
  <si>
    <t>LDP000:ta_TwoSeaterCars</t>
  </si>
  <si>
    <t>LDP000:ta_LargeCars</t>
  </si>
  <si>
    <t>LDP000:ta_MidsizeCars</t>
  </si>
  <si>
    <t>LDP000:ta_CompactCars</t>
  </si>
  <si>
    <t>LDP000:ta_SubcompactCar</t>
  </si>
  <si>
    <t>LDP000:ta_Mini-compactC</t>
  </si>
  <si>
    <t>Fuel Cell Hydrogen</t>
  </si>
  <si>
    <t>LDP000:sa_LargeUtility</t>
  </si>
  <si>
    <t>LDP000:sa_SmallUtility</t>
  </si>
  <si>
    <t>LDP000:sa_LargeVan</t>
  </si>
  <si>
    <t>LDP000:sa_SmallVan</t>
  </si>
  <si>
    <t>LDP000:sa_LargePickup</t>
  </si>
  <si>
    <t>LDP000:sa_SmallPickup</t>
  </si>
  <si>
    <t>LDP000:sa_TwoSeaterCars</t>
  </si>
  <si>
    <t>LDP000:sa_LargeCars</t>
  </si>
  <si>
    <t>LDP000:sa_MidsizeCars</t>
  </si>
  <si>
    <t>LDP000:sa_CompactCars</t>
  </si>
  <si>
    <t>LDP000:sa_SubcompactCar</t>
  </si>
  <si>
    <t>LDP000:sa_Mini-compactC</t>
  </si>
  <si>
    <t>Fuel Cell Methanol</t>
  </si>
  <si>
    <t>LDP000:ra_LargeUtility</t>
  </si>
  <si>
    <t>LDP000:ra_SmallUtility</t>
  </si>
  <si>
    <t>LDP000:ra_LargeVan</t>
  </si>
  <si>
    <t>LDP000:ra_SmallVan</t>
  </si>
  <si>
    <t>LDP000:ra_LargePickup</t>
  </si>
  <si>
    <t>LDP000:ra_SmallPickup</t>
  </si>
  <si>
    <t>LDP000:ra_TwoSeaterCars</t>
  </si>
  <si>
    <t>LDP000:ra_LargeCars</t>
  </si>
  <si>
    <t>LDP000:ra_MidsizeCars</t>
  </si>
  <si>
    <t>LDP000:ra_CompactCars</t>
  </si>
  <si>
    <t>LDP000:ra_SubcompactCar</t>
  </si>
  <si>
    <t>LDP000:ra_Mini-compactC</t>
  </si>
  <si>
    <t>Gasoline-Electric Hybrid</t>
  </si>
  <si>
    <t>LDP000:pa_LargeUtility</t>
  </si>
  <si>
    <t>LDP000:pa_SmallUtility</t>
  </si>
  <si>
    <t>LDP000:pa_LargeVan</t>
  </si>
  <si>
    <t>LDP000:pa_SmallVan</t>
  </si>
  <si>
    <t>LDP000:pa_LargePickup</t>
  </si>
  <si>
    <t>LDP000:pa_SmallPickup</t>
  </si>
  <si>
    <t>LDP000:pa_TwoSeaterCars</t>
  </si>
  <si>
    <t>LDP000:pa_LargeCars</t>
  </si>
  <si>
    <t>LDP000:pa_MidsizeCars</t>
  </si>
  <si>
    <t>LDP000:pa_CompactCars</t>
  </si>
  <si>
    <t>LDP000:pa_SubcompactCar</t>
  </si>
  <si>
    <t>LDP000:pa_Mini-compactC</t>
  </si>
  <si>
    <t>Diesel-Electric Hybrid</t>
  </si>
  <si>
    <t>LDP000:oa_LargeUtility</t>
  </si>
  <si>
    <t>LDP000:oa_SmallUtility</t>
  </si>
  <si>
    <t>LDP000:oa_LargeVan</t>
  </si>
  <si>
    <t>LDP000:oa_SmallVan</t>
  </si>
  <si>
    <t>LDP000:oa_LargePickup</t>
  </si>
  <si>
    <t>LDP000:oa_SmallPickup</t>
  </si>
  <si>
    <t>LDP000:oa_TwoSeaterCars</t>
  </si>
  <si>
    <t>LDP000:oa_LargeCars</t>
  </si>
  <si>
    <t>LDP000:oa_MidsizeCars</t>
  </si>
  <si>
    <t>LDP000:oa_CompactCars</t>
  </si>
  <si>
    <t>LDP000:oa_SubcompactCar</t>
  </si>
  <si>
    <t>LDP000:oa_Mini-compactC</t>
  </si>
  <si>
    <t>200 Mile Electric Vehicle</t>
  </si>
  <si>
    <t>LDP000:ga_LargeUtility</t>
  </si>
  <si>
    <t>LDP000:ga_SmallUtility</t>
  </si>
  <si>
    <t>LDP000:ga_LargeVan</t>
  </si>
  <si>
    <t>LDP000:ga_SmallVan</t>
  </si>
  <si>
    <t>LDP000:ga_LargePickup</t>
  </si>
  <si>
    <t>LDP000:ga_SmallPickup</t>
  </si>
  <si>
    <t>LDP000:ga_TwoSeaterCars</t>
  </si>
  <si>
    <t>LDP000:ga_LargeCars</t>
  </si>
  <si>
    <t>LDP000:ga_MidsizeCars</t>
  </si>
  <si>
    <t>LDP000:ga_CompactCars</t>
  </si>
  <si>
    <t>LDP000:ga_SubcompactCar</t>
  </si>
  <si>
    <t>LDP000:ga_Mini-compactC</t>
  </si>
  <si>
    <t>100 Mile Electric Vehicle</t>
  </si>
  <si>
    <t>LDP000:na_LargeUtility</t>
  </si>
  <si>
    <t>LDP000:na_SmallUtility</t>
  </si>
  <si>
    <t>LDP000:na_LargeVan</t>
  </si>
  <si>
    <t>LDP000:na_SmallVan</t>
  </si>
  <si>
    <t>LDP000:na_LargePickup</t>
  </si>
  <si>
    <t>LDP000:na_SmallPickup</t>
  </si>
  <si>
    <t>LDP000:na_TwoSeaterCars</t>
  </si>
  <si>
    <t>LDP000:na_LargeCars</t>
  </si>
  <si>
    <t>LDP000:na_MidsizeCars</t>
  </si>
  <si>
    <t>LDP000:na_CompactCars</t>
  </si>
  <si>
    <t>LDP000:na_SubcompactCar</t>
  </si>
  <si>
    <t>LDP000:na_Mini-compactC</t>
  </si>
  <si>
    <t>Propane Bi-Fuel</t>
  </si>
  <si>
    <t>LDP000:la_LargeUtility</t>
  </si>
  <si>
    <t>LDP000:la_SmallUtility</t>
  </si>
  <si>
    <t>LDP000:la_LargeVan</t>
  </si>
  <si>
    <t>LDP000:la_SmallVan</t>
  </si>
  <si>
    <t>LDP000:la_LargePickup</t>
  </si>
  <si>
    <t>LDP000:la_SmallPickup</t>
  </si>
  <si>
    <t>LDP000:la_TwoSeaterCars</t>
  </si>
  <si>
    <t>LDP000:la_LargeCars</t>
  </si>
  <si>
    <t>LDP000:la_MidsizeCars</t>
  </si>
  <si>
    <t>LDP000:la_CompactCars</t>
  </si>
  <si>
    <t>LDP000:la_SubcompactCar</t>
  </si>
  <si>
    <t>LDP000:la_Mini-compactC</t>
  </si>
  <si>
    <t>Propane</t>
  </si>
  <si>
    <t>LDP000:ka_LargeUtility</t>
  </si>
  <si>
    <t>LDP000:ka_SmallUtility</t>
  </si>
  <si>
    <t>LDP000:ka_LargeVan</t>
  </si>
  <si>
    <t>LDP000:ka_SmallVan</t>
  </si>
  <si>
    <t>LDP000:ka_LargePickup</t>
  </si>
  <si>
    <t>LDP000:ka_SmallPickup</t>
  </si>
  <si>
    <t>LDP000:ka_TwoSeaterCars</t>
  </si>
  <si>
    <t>LDP000:ka_LargeCars</t>
  </si>
  <si>
    <t>LDP000:ka_MidsizeCars</t>
  </si>
  <si>
    <t>LDP000:ka_CompactCars</t>
  </si>
  <si>
    <t>LDP000:ka_SubcompactCar</t>
  </si>
  <si>
    <t>LDP000:ka_Mini-compactC</t>
  </si>
  <si>
    <t>Compressed/Liquefied Natural Gas Bi-Fuel</t>
  </si>
  <si>
    <t>LDP000:ja_LargeUtility</t>
  </si>
  <si>
    <t>LDP000:ja_SmallUtility</t>
  </si>
  <si>
    <t>LDP000:ja_LargeVan</t>
  </si>
  <si>
    <t>LDP000:ja_SmallVan</t>
  </si>
  <si>
    <t>LDP000:ja_LargePickup</t>
  </si>
  <si>
    <t>LDP000:ja_SmallPickup</t>
  </si>
  <si>
    <t>LDP000:ja_TwoSeaterCars</t>
  </si>
  <si>
    <t>LDP000:ja_LargeCars</t>
  </si>
  <si>
    <t>LDP000:ja_MidsizeCars</t>
  </si>
  <si>
    <t>LDP000:ja_CompactCars</t>
  </si>
  <si>
    <t>LDP000:ja_SubcompactCar</t>
  </si>
  <si>
    <t>LDP000:ja_Mini-compactC</t>
  </si>
  <si>
    <t>Compressed/Liquefied Natural Gas</t>
  </si>
  <si>
    <t>LDP000:ha_LargeUtility</t>
  </si>
  <si>
    <t>LDP000:ha_SmallUtility</t>
  </si>
  <si>
    <t>LDP000:ha_LargeVan</t>
  </si>
  <si>
    <t>LDP000:ha_SmallVan</t>
  </si>
  <si>
    <t>LDP000:ha_LargePickup</t>
  </si>
  <si>
    <t>LDP000:ha_SmallPickup</t>
  </si>
  <si>
    <t>LDP000:ha_TwoSeaterCars</t>
  </si>
  <si>
    <t>LDP000:ha_LargeCars</t>
  </si>
  <si>
    <t>LDP000:ha_MidsizeCars</t>
  </si>
  <si>
    <t>LDP000:ha_CompactCars</t>
  </si>
  <si>
    <t>LDP000:ha_SubcompactCar</t>
  </si>
  <si>
    <t>LDP000:ha_Mini-compactC</t>
  </si>
  <si>
    <t>Ethanol Flex</t>
  </si>
  <si>
    <t>LDP000:da_LargeUtility</t>
  </si>
  <si>
    <t>LDP000:da_SmallUtility</t>
  </si>
  <si>
    <t>LDP000:da_LargeVan</t>
  </si>
  <si>
    <t>LDP000:da_SmallVan</t>
  </si>
  <si>
    <t>LDP000:da_LargePickup</t>
  </si>
  <si>
    <t>LDP000:da_SmallPickup</t>
  </si>
  <si>
    <t>LDP000:da_TwoSeaterCars</t>
  </si>
  <si>
    <t>LDP000:da_LargeCars</t>
  </si>
  <si>
    <t>LDP000:da_MidsizeCars</t>
  </si>
  <si>
    <t>LDP000:da_CompactCars</t>
  </si>
  <si>
    <t>LDP000:da_SubcompactCar</t>
  </si>
  <si>
    <t>LDP000:da_Mini-compactC</t>
  </si>
  <si>
    <t>Plug-in 40 Gasoline Hybrid</t>
  </si>
  <si>
    <t>LDP000:fa_LargeUtility</t>
  </si>
  <si>
    <t>LDP000:fa_SmallUtility</t>
  </si>
  <si>
    <t>LDP000:fa_LargeVan</t>
  </si>
  <si>
    <t>LDP000:fa_SmallVan</t>
  </si>
  <si>
    <t>LDP000:fa_LargePickup</t>
  </si>
  <si>
    <t>LDP000:fa_SmallPickup</t>
  </si>
  <si>
    <t>LDP000:fa_TwoSeaterCars</t>
  </si>
  <si>
    <t>LDP000:fa_LargeCars</t>
  </si>
  <si>
    <t>LDP000:fa_MidsizeCars</t>
  </si>
  <si>
    <t>LDP000:fa_CompactCars</t>
  </si>
  <si>
    <t>LDP000:fa_SubcompactCar</t>
  </si>
  <si>
    <t>LDP000:fa_Mini-compactC</t>
  </si>
  <si>
    <t>Plug-in 10 Gasoline Hybrid</t>
  </si>
  <si>
    <t>LDP000:ca_LargeUtility</t>
  </si>
  <si>
    <t>LDP000:ca_SmallUtility</t>
  </si>
  <si>
    <t>LDP000:ca_LargeVan</t>
  </si>
  <si>
    <t>LDP000:ca_SmallVan</t>
  </si>
  <si>
    <t>LDP000:ca_LargePickup</t>
  </si>
  <si>
    <t>LDP000:ca_SmallPickup</t>
  </si>
  <si>
    <t>LDP000:ca_TwoSeaterCars</t>
  </si>
  <si>
    <t>LDP000:ca_LargeCars</t>
  </si>
  <si>
    <t>LDP000:ca_MidsizeCars</t>
  </si>
  <si>
    <t>LDP000:ca_CompactCars</t>
  </si>
  <si>
    <t>LDP000:ca_SubcompactCar</t>
  </si>
  <si>
    <t>LDP000:ca_Mini-compactC</t>
  </si>
  <si>
    <t>Turbo Direct Injection Diesel</t>
  </si>
  <si>
    <t>LDP000:ba_LargeUtility</t>
  </si>
  <si>
    <t>LDP000:ba_SmallUtility</t>
  </si>
  <si>
    <t>LDP000:ba_LargeVan</t>
  </si>
  <si>
    <t>LDP000:ba_SmallVan</t>
  </si>
  <si>
    <t>LDP000:ba_LargePickup</t>
  </si>
  <si>
    <t>LDP000:ba_SmallPickup</t>
  </si>
  <si>
    <t>LDP000:ba_TwoSeaterCars</t>
  </si>
  <si>
    <t>LDP000:ba_LargeCars</t>
  </si>
  <si>
    <t>LDP000:ba_MidsizeCars</t>
  </si>
  <si>
    <t>LDP000:ba_CompactCars</t>
  </si>
  <si>
    <t>LDP000:ba_SubcompactCar</t>
  </si>
  <si>
    <t>LDP000:ba_Mini-compactC</t>
  </si>
  <si>
    <t>Gasoline</t>
  </si>
  <si>
    <t>LDP000</t>
  </si>
  <si>
    <t>See "cpi.xlsx" in the InputData folder for source information.</t>
  </si>
  <si>
    <t>For plug-in hybrid LDVs, we use the larger battery class (PHEV-40) rather</t>
  </si>
  <si>
    <t>than the smaller battery class (PHEV-10).  The Chevrolet Volt, the world's</t>
  </si>
  <si>
    <t>Passenger aircraft are typically sold at a steep discount (50% or more) relative to the list price.</t>
  </si>
  <si>
    <t>Therefore, the market price is a better estimate of the actual purchase cost of an airplane.</t>
  </si>
  <si>
    <t>Model</t>
  </si>
  <si>
    <t>2012 List Price</t>
  </si>
  <si>
    <t>2012 Market Price</t>
  </si>
  <si>
    <t>Boeing 737-800</t>
  </si>
  <si>
    <t>Boeing 737-900ER</t>
  </si>
  <si>
    <t>Boeing 777-300ER</t>
  </si>
  <si>
    <t>Airbus A319</t>
  </si>
  <si>
    <t>Airbus A320</t>
  </si>
  <si>
    <t>Airbus A330-200</t>
  </si>
  <si>
    <t>For lack of data on fleet compositions (and market prices of additional models), we</t>
  </si>
  <si>
    <t>will take a simple average of the market prices of aircraft included in this table,</t>
  </si>
  <si>
    <t>which at least puts us in the right ballpark for aircraft pricing.</t>
  </si>
  <si>
    <t>Example New 2017 Motorcycles Selected by Popular Mechanics Magazine (U.S. market)</t>
  </si>
  <si>
    <t>Make</t>
  </si>
  <si>
    <t>Price</t>
  </si>
  <si>
    <t>Yamaha</t>
  </si>
  <si>
    <t>SCR 950</t>
  </si>
  <si>
    <t>Suzuki</t>
  </si>
  <si>
    <t>Vanvan 200</t>
  </si>
  <si>
    <t>Triumph</t>
  </si>
  <si>
    <t>Street Cup</t>
  </si>
  <si>
    <t>Honda</t>
  </si>
  <si>
    <t>CBR500R</t>
  </si>
  <si>
    <t>Kawasaki</t>
  </si>
  <si>
    <t>Z125 Pro</t>
  </si>
  <si>
    <t>Victory</t>
  </si>
  <si>
    <t>Octane</t>
  </si>
  <si>
    <t>Ducati</t>
  </si>
  <si>
    <t>SuperSport</t>
  </si>
  <si>
    <t>Moto Guzzi</t>
  </si>
  <si>
    <t>V7 Stone II</t>
  </si>
  <si>
    <t>Harley-Davidson</t>
  </si>
  <si>
    <t>Road Glide</t>
  </si>
  <si>
    <t>BMW</t>
  </si>
  <si>
    <t>G310R</t>
  </si>
  <si>
    <t>Currency Year</t>
  </si>
  <si>
    <t>The figures from the Center for Automotive Research come from a 2010 Automotive Yearbook</t>
  </si>
  <si>
    <t>and therefore are likely in 2010 dollars.</t>
  </si>
  <si>
    <t>The figures from TruckerToTrucker were collected in early 2015 and therefore use 2015</t>
  </si>
  <si>
    <t>dollars, but because we don't have a 2015 annual CPI-U figure available yet, we use 2014.</t>
  </si>
  <si>
    <t>2014 to 2012, for TruckerToTrucker</t>
  </si>
  <si>
    <t>2013 to 2012, for American Public Transit Association</t>
  </si>
  <si>
    <t>2016 to 2012, for AEO 2017</t>
  </si>
  <si>
    <t>all technology price trends into the future.</t>
  </si>
  <si>
    <t>We use an average market price (not an average list price) from among a number</t>
  </si>
  <si>
    <t>of common commercial aircraft.  We use the same price for passenger and freight</t>
  </si>
  <si>
    <t>Daniel Michaels, The Wall Street Journal</t>
  </si>
  <si>
    <t>The Secret Price of a Jet Airliner</t>
  </si>
  <si>
    <t>http://www.wsj.com/articles/SB10001424052702303649504577494862829051078</t>
  </si>
  <si>
    <t>Bob Tita and James Hagerty, The Wall Street Journal</t>
  </si>
  <si>
    <t>Caterpillar Falls Behind GE in Locomotives Race</t>
  </si>
  <si>
    <t>http://www.wsj.com/articles/caterpillar-falls-behind-ge-in-locomotives-race-1405291739</t>
  </si>
  <si>
    <t>Paragraph 5</t>
  </si>
  <si>
    <t>Ben Steward, Popular Mechanics Magazine</t>
  </si>
  <si>
    <t>The 10 Best Buys in Motorcycles for 2017</t>
  </si>
  <si>
    <t>http://www.popularmechanics.com/cars/motorcycles/g2309/best-motorcycle-buys/</t>
  </si>
  <si>
    <t>We use a price from a single source for the locomotive (not the price of the</t>
  </si>
  <si>
    <t>aircraft.  We assume the price does not change with time.</t>
  </si>
  <si>
    <t>entire train).  We use the same price for passenger and freight locomotives.</t>
  </si>
  <si>
    <t>We assume the price does not change with time.</t>
  </si>
  <si>
    <t>rail (locomotive prices)</t>
  </si>
  <si>
    <t>Ship prices vary greatly by ship type and size.  Based on variable AVLo, our average</t>
  </si>
  <si>
    <t>passenger ships</t>
  </si>
  <si>
    <t>freight ship capacity</t>
  </si>
  <si>
    <t>Tennessee-Tombigbee Waterway</t>
  </si>
  <si>
    <t>undated</t>
  </si>
  <si>
    <t>Cargo Capacity of Different Transportation Modes</t>
  </si>
  <si>
    <t>http://business.tenntom.org/why-use-the-waterway/shipping-comparisons/</t>
  </si>
  <si>
    <t>freight ship loading is 1363 tons.  This may be reasonably represented by a single oceangoing,</t>
  </si>
  <si>
    <t>Capacities of large barges of this sort are often expressed in TEU (twenty-foot equivalent units),</t>
  </si>
  <si>
    <t>which are the size of a standard intermodal metal shipping container.  They do not convert</t>
  </si>
  <si>
    <t>neatly into cargo tons, but standard containers have a maximum payload</t>
  </si>
  <si>
    <t>https://web.archive.org/web/20090420143514/http://emase.co.uk/data/cont.html</t>
  </si>
  <si>
    <t>mass of 21600 kg, or 21.6 metric tons.  Typical payload may be less.  We use 16 tons as</t>
  </si>
  <si>
    <t>the typical load for a freight HDV (see variable AVLo), which may use an intermodal container</t>
  </si>
  <si>
    <t>or be similar in size to one.</t>
  </si>
  <si>
    <t>The largest barge in the world is the Maersk Triple E class, with a capacity of 18,340 TEU</t>
  </si>
  <si>
    <t>and a cost of $185 million.  This is more than 200 times more capacity than the ship we</t>
  </si>
  <si>
    <t>wish to represent with this variable, and it serves as an upper bound reference point.</t>
  </si>
  <si>
    <t>with ever-changing inventory.  These barges all tend to be smaller than the reference</t>
  </si>
  <si>
    <t>Description</t>
  </si>
  <si>
    <t>180ft 5200HP AHTS 9504</t>
  </si>
  <si>
    <t>Deck Capacity (metric tons)</t>
  </si>
  <si>
    <t>60 Ton BP AHTS - 9279</t>
  </si>
  <si>
    <t>A variety of used boats are listed for sale at https://www.oceanmarine.com</t>
  </si>
  <si>
    <t>ship we wish to represent (with 1500-ton capacity).  The closest ships I have been</t>
  </si>
  <si>
    <t>5200HP AHTS - 9278</t>
  </si>
  <si>
    <t>able to find are certain Platform Supply Vessels, which tend to have higher deck capacities</t>
  </si>
  <si>
    <t>vessels have extra equipment and engine power that may increase their price relative</t>
  </si>
  <si>
    <t>to the necessary capacity.</t>
  </si>
  <si>
    <t>240ft Platform Supply Vessel(PSV) DP-1 - 13932</t>
  </si>
  <si>
    <t>285ft Platform Supply Vessel (PSV) - 13810</t>
  </si>
  <si>
    <t>Year of Manufacture</t>
  </si>
  <si>
    <t>220ft Platform Supply DP-1 - 13146</t>
  </si>
  <si>
    <t>Based on all of these data points, we select a value of $10 million to represent a brand new,</t>
  </si>
  <si>
    <t>Source for TEU capacities</t>
  </si>
  <si>
    <t>Source for Maersk Triple E class pricing</t>
  </si>
  <si>
    <t>https://www.bloomberg.com/news/photo-essays/2013-09-05/holy-ship#slide1</t>
  </si>
  <si>
    <t>Source for Other Example cargo ship pricing</t>
  </si>
  <si>
    <t>https://www.oceanmarine.com</t>
  </si>
  <si>
    <t>For details, see the "Ships" tab.</t>
  </si>
  <si>
    <t>freight ships</t>
  </si>
  <si>
    <t>self-propelled barge that has a capacity of 1500 tons (see source info to the right).  A drawing</t>
  </si>
  <si>
    <t>of a barge of this type is shown to the right (from thas same source).</t>
  </si>
  <si>
    <t>see "Ships" tab</t>
  </si>
  <si>
    <t>We assume no change in pricing over time.</t>
  </si>
  <si>
    <t>and lower prices than the similar Anchor Handling Tug Supply (AHTS) vessels.  AHTS</t>
  </si>
  <si>
    <t>self-propelled, ocean-going barge or supply boat with 1,500-ton capacity.</t>
  </si>
  <si>
    <t>Passenger Ships (recreational boats in the U.S. model)</t>
  </si>
  <si>
    <t>As with freight ships, there are a great variety of types of recreational boats at various</t>
  </si>
  <si>
    <t>Source for typical recreational boat characteristics</t>
  </si>
  <si>
    <t>http://www.carefreeboater.com/how-much-does-a-boat-cost/</t>
  </si>
  <si>
    <t>price points.  We assume a runabout roughly 21 feet to 24 feet in length is typical.</t>
  </si>
  <si>
    <t>We use a value of $30,000 for these boats, which seems reasonable for a brand</t>
  </si>
  <si>
    <t>new, entry-level runabout of the sort determined to be typical.  This is based</t>
  </si>
  <si>
    <t>Sources for boat prices</t>
  </si>
  <si>
    <t>http://www.boatingmag.com</t>
  </si>
  <si>
    <t>http://www.boattrader.com</t>
  </si>
  <si>
    <t>http://www.boats.com</t>
  </si>
  <si>
    <t>on examination of price listings and articles at the sources listed to the right.</t>
  </si>
  <si>
    <t>We take an average of popular, recent motorbike prices for "gasoline vehicle"</t>
  </si>
  <si>
    <t>motorbikes.  We multiply by the LDVs "battery electric" to "gasoline vehicle" ratio</t>
  </si>
  <si>
    <t>to estimate the price of battery electric motorbikes in the U.S.</t>
  </si>
  <si>
    <t>For natural gas passenger LDVs, we use the average of the two size classes</t>
  </si>
  <si>
    <t xml:space="preserve">for which AEO 53 contains data (compact and large cars). </t>
  </si>
  <si>
    <t xml:space="preserve">   Note:  Totals may not equal sum of components due to independent rounding.</t>
  </si>
  <si>
    <t xml:space="preserve">   - - = Not applicable.</t>
  </si>
  <si>
    <t xml:space="preserve">   ICE = Internal combustion engine.</t>
  </si>
  <si>
    <t xml:space="preserve">     Total Alternative Light Trucks</t>
  </si>
  <si>
    <t xml:space="preserve">   Fuel Cell Hydrogen</t>
  </si>
  <si>
    <t xml:space="preserve">   Fuel Cell Methanol</t>
  </si>
  <si>
    <t xml:space="preserve">   Propane Bi-fuel</t>
  </si>
  <si>
    <t xml:space="preserve">   Propane ICE</t>
  </si>
  <si>
    <t xml:space="preserve">   Natural Gas Bi-fuel</t>
  </si>
  <si>
    <t xml:space="preserve">   Natural Gas ICE</t>
  </si>
  <si>
    <t xml:space="preserve">   Electric-Gasoline Hybrid</t>
  </si>
  <si>
    <t xml:space="preserve">   Electric-Diesel Hybrid</t>
  </si>
  <si>
    <t xml:space="preserve">   Plug-in 40 Gasoline Hybrid</t>
  </si>
  <si>
    <t xml:space="preserve">   Plug-in 10 Gasoline Hybrid</t>
  </si>
  <si>
    <t xml:space="preserve">   200 Mile Electric Vehicle</t>
  </si>
  <si>
    <t xml:space="preserve">   100 Mile Electric Vehicle</t>
  </si>
  <si>
    <t xml:space="preserve">   Ethanol-Flex Fuel ICE</t>
  </si>
  <si>
    <t xml:space="preserve"> Alternative-Fuel Light Trucks</t>
  </si>
  <si>
    <t xml:space="preserve">     Total Conventional Light Trucks</t>
  </si>
  <si>
    <t xml:space="preserve">   TDI Diesel ICE</t>
  </si>
  <si>
    <t xml:space="preserve">   Gasoline ICE Vehicles</t>
  </si>
  <si>
    <t xml:space="preserve"> Conventional Light Trucks</t>
  </si>
  <si>
    <t xml:space="preserve">     Total Alternative Cars</t>
  </si>
  <si>
    <t xml:space="preserve"> Alternative-Fuel Cars</t>
  </si>
  <si>
    <t xml:space="preserve">     Total Conventional Cars</t>
  </si>
  <si>
    <t xml:space="preserve"> Conventional Cars</t>
  </si>
  <si>
    <t xml:space="preserve"> Technology Type</t>
  </si>
  <si>
    <t xml:space="preserve">   Conventional Light Trucks</t>
  </si>
  <si>
    <t>TCA000:na_ConventionalL</t>
  </si>
  <si>
    <t xml:space="preserve">   Conventional Cars</t>
  </si>
  <si>
    <t>TCA000:na_ConventionalC</t>
  </si>
  <si>
    <t>Average Weight for the Stock</t>
  </si>
  <si>
    <t xml:space="preserve">   Average New Light Truck</t>
  </si>
  <si>
    <t>TCA000:ma_AverageNewLig</t>
  </si>
  <si>
    <t xml:space="preserve">      Large Utility</t>
  </si>
  <si>
    <t>TCA000:ma_LargeUtility</t>
  </si>
  <si>
    <t xml:space="preserve">      Small Utility</t>
  </si>
  <si>
    <t>TCA000:ma_SmallUtility</t>
  </si>
  <si>
    <t xml:space="preserve">      Large Van</t>
  </si>
  <si>
    <t>TCA000:ma_LargeVan</t>
  </si>
  <si>
    <t xml:space="preserve">      Small Van</t>
  </si>
  <si>
    <t>TCA000:ma_SmallVan</t>
  </si>
  <si>
    <t xml:space="preserve">      Large Pickup</t>
  </si>
  <si>
    <t>TCA000:ma_LargePickup</t>
  </si>
  <si>
    <t xml:space="preserve">      Small Pickup</t>
  </si>
  <si>
    <t>TCA000:ma_SmallPickup</t>
  </si>
  <si>
    <t xml:space="preserve">   Average New Car</t>
  </si>
  <si>
    <t>TCA000:la_AverageNewCar</t>
  </si>
  <si>
    <t xml:space="preserve">      Two Seater</t>
  </si>
  <si>
    <t>TCA000:la_TwoSeater</t>
  </si>
  <si>
    <t xml:space="preserve">      Large</t>
  </si>
  <si>
    <t>TCA000:la_Large</t>
  </si>
  <si>
    <t xml:space="preserve">      Midsize</t>
  </si>
  <si>
    <t>TCA000:la_Midsize</t>
  </si>
  <si>
    <t xml:space="preserve">      Compact</t>
  </si>
  <si>
    <t>TCA000:la_Compact</t>
  </si>
  <si>
    <t xml:space="preserve">      Subcompact</t>
  </si>
  <si>
    <t>TCA000:la_Subcompact</t>
  </si>
  <si>
    <t xml:space="preserve">      Minicompact</t>
  </si>
  <si>
    <t>TCA000:la_Minicompact</t>
  </si>
  <si>
    <t>New Vehicle Average Weight</t>
  </si>
  <si>
    <t>TCA000:ka_AverageNewLig</t>
  </si>
  <si>
    <t>TCA000:ka_LargeUtility</t>
  </si>
  <si>
    <t>TCA000:ka_SmallUtility</t>
  </si>
  <si>
    <t>TCA000:ka_LargeVan</t>
  </si>
  <si>
    <t>TCA000:ka_SmallVan</t>
  </si>
  <si>
    <t>TCA000:ka_LargePickup</t>
  </si>
  <si>
    <t>TCA000:ka_SmallPickup</t>
  </si>
  <si>
    <t>TCA000:ja_AverageNewCar</t>
  </si>
  <si>
    <t>TCA000:ja_TwoSeater</t>
  </si>
  <si>
    <t>TCA000:ja_Large</t>
  </si>
  <si>
    <t>TCA000:ja_Midsize</t>
  </si>
  <si>
    <t>TCA000:ja_Compact</t>
  </si>
  <si>
    <t>TCA000:ja_Subcompact</t>
  </si>
  <si>
    <t>TCA000:ja_Minicompact</t>
  </si>
  <si>
    <t>New Vehicle Average Horsepower</t>
  </si>
  <si>
    <t>TCA000:ja_LargeUtility</t>
  </si>
  <si>
    <t>TCA000:ja_SmallUtility</t>
  </si>
  <si>
    <t>TCA000:ja_LargeVan</t>
  </si>
  <si>
    <t>TCA000:ja_SmallVan</t>
  </si>
  <si>
    <t>TCA000:ja_LargePickup</t>
  </si>
  <si>
    <t>TCA000:ja_SmallPickup</t>
  </si>
  <si>
    <t>TCA000:ia_TwoSeater</t>
  </si>
  <si>
    <t>TCA000:ia_Large</t>
  </si>
  <si>
    <t>TCA000:ia_Midsize</t>
  </si>
  <si>
    <t>TCA000:ia_Compact</t>
  </si>
  <si>
    <t>TCA000:ia_Subcompact</t>
  </si>
  <si>
    <t>TCA000:ia_Minicompact</t>
  </si>
  <si>
    <t>New Vehicle Sales Shares (percent)</t>
  </si>
  <si>
    <t xml:space="preserve">      Light Trucks</t>
  </si>
  <si>
    <t>TCA000:ha_LightTrucks</t>
  </si>
  <si>
    <t xml:space="preserve">      Cars</t>
  </si>
  <si>
    <t>TCA000:ha_Cars</t>
  </si>
  <si>
    <t xml:space="preserve">   Average On-Road Miles per Gallon</t>
  </si>
  <si>
    <t>TCA000:ga_LightTrucks</t>
  </si>
  <si>
    <t>TCA000:ga_Cars</t>
  </si>
  <si>
    <t xml:space="preserve">   EPA Rated New Vehicle Fuel Efficiency</t>
  </si>
  <si>
    <t>Fleet Vehicles</t>
  </si>
  <si>
    <t xml:space="preserve">         Large Utility</t>
  </si>
  <si>
    <t>TCA000:ga_LargeUtility</t>
  </si>
  <si>
    <t xml:space="preserve">         Small Utility</t>
  </si>
  <si>
    <t>TCA000:ga_SmallUtility</t>
  </si>
  <si>
    <t xml:space="preserve">         Large Van</t>
  </si>
  <si>
    <t>TCA000:ga_LargeVan</t>
  </si>
  <si>
    <t xml:space="preserve">         Small Van</t>
  </si>
  <si>
    <t>TCA000:ga_SmallVan</t>
  </si>
  <si>
    <t xml:space="preserve">         Large Pickup</t>
  </si>
  <si>
    <t>TCA000:ga_LargePickup</t>
  </si>
  <si>
    <t xml:space="preserve">         Small Pickup</t>
  </si>
  <si>
    <t>TCA000:ga_SmallPickup</t>
  </si>
  <si>
    <t xml:space="preserve">      Alternative-Fuel Light Trucks</t>
  </si>
  <si>
    <t xml:space="preserve">      Average New Alternative Cars</t>
  </si>
  <si>
    <t>TCA000:fa_AverageNewAlt</t>
  </si>
  <si>
    <t xml:space="preserve">         Two Seater</t>
  </si>
  <si>
    <t>TCA000:fa_TwoSeater</t>
  </si>
  <si>
    <t xml:space="preserve">         Large</t>
  </si>
  <si>
    <t>TCA000:fa_Large</t>
  </si>
  <si>
    <t xml:space="preserve">         Midsize</t>
  </si>
  <si>
    <t>TCA000:fa_Midsize</t>
  </si>
  <si>
    <t xml:space="preserve">         Compact</t>
  </si>
  <si>
    <t>TCA000:fa_Compact</t>
  </si>
  <si>
    <t xml:space="preserve">         Subcompact</t>
  </si>
  <si>
    <t>TCA000:fa_Subcompact</t>
  </si>
  <si>
    <t xml:space="preserve">         Minicompact</t>
  </si>
  <si>
    <t>TCA000:fa_Minicompact</t>
  </si>
  <si>
    <t xml:space="preserve">      Alternative-Fuel Cars</t>
  </si>
  <si>
    <t xml:space="preserve">   New Fuel Efficiency by Size Class 2/</t>
  </si>
  <si>
    <t>TCA000:ea_LightTrucks</t>
  </si>
  <si>
    <t>TCA000:ea_Cars</t>
  </si>
  <si>
    <t xml:space="preserve">   Degradation Factors 1/</t>
  </si>
  <si>
    <t xml:space="preserve">      Average New Light Truck On-Road</t>
  </si>
  <si>
    <t>TCA000:da_AverageNewLTO</t>
  </si>
  <si>
    <t xml:space="preserve">      Average New Light Truck</t>
  </si>
  <si>
    <t>TCA000:da_AverageNewLig</t>
  </si>
  <si>
    <t>TCA000:da_LargeUtility</t>
  </si>
  <si>
    <t>TCA000:da_SmallUtility</t>
  </si>
  <si>
    <t>TCA000:da_LargeVan</t>
  </si>
  <si>
    <t>TCA000:da_SmallVan</t>
  </si>
  <si>
    <t>TCA000:da_LargePickup</t>
  </si>
  <si>
    <t>TCA000:da_SmallPickup</t>
  </si>
  <si>
    <t xml:space="preserve">      Conventional Light Trucks</t>
  </si>
  <si>
    <t xml:space="preserve">      Average New Car On-Road</t>
  </si>
  <si>
    <t>TCA000:ca_AverageNewCar</t>
  </si>
  <si>
    <t xml:space="preserve">      Average New Car</t>
  </si>
  <si>
    <t>TCA000:ba_AverageNewCar</t>
  </si>
  <si>
    <t>TCA000:ba_TwoSeater</t>
  </si>
  <si>
    <t>TCA000:ba_Large</t>
  </si>
  <si>
    <t>TCA000:ba_Midsize</t>
  </si>
  <si>
    <t>TCA000:ba_Compact</t>
  </si>
  <si>
    <t>TCA000:ba_Subcompact</t>
  </si>
  <si>
    <t>TCA000:ba_Minicompact</t>
  </si>
  <si>
    <t xml:space="preserve">      Conventional Cars (miles per gallon)</t>
  </si>
  <si>
    <t>Personal Vehicles</t>
  </si>
  <si>
    <t xml:space="preserve"> Class Attributes</t>
  </si>
  <si>
    <t>TCA000</t>
  </si>
  <si>
    <t>Diesel</t>
  </si>
  <si>
    <t>For gasoline engine and diesel engine passenger LDVs, we use a sales-</t>
  </si>
  <si>
    <t>weighted average by size category, including cars and light trucks.</t>
  </si>
  <si>
    <t>best-selling plug-in hybrid vehicle, is a PHEV-40.  We use the only three</t>
  </si>
  <si>
    <t>size classes for which price data are available.</t>
  </si>
  <si>
    <t>Tables 39, 43, and 53</t>
  </si>
  <si>
    <t xml:space="preserve">   300 Mile Electric Vehicle</t>
  </si>
  <si>
    <t>300 Mile Electric Vehicle</t>
  </si>
  <si>
    <t>2017 to 2012, for AEO 2018</t>
  </si>
  <si>
    <t>Annual Energy Outlook 2019</t>
  </si>
  <si>
    <t xml:space="preserve">         Small Crossover Utility</t>
  </si>
  <si>
    <t xml:space="preserve">         Large Crossover Utility</t>
  </si>
  <si>
    <t xml:space="preserve">   Cars</t>
  </si>
  <si>
    <t xml:space="preserve">      Small Crossover Utility</t>
  </si>
  <si>
    <t xml:space="preserve">      Large Crossover Utility</t>
  </si>
  <si>
    <t xml:space="preserve">   Light Trucks</t>
  </si>
  <si>
    <t xml:space="preserve">   1/  Conversion factor used to convert U.S. Environmental Protection Agency (EPA) rated efficiency to "on road" miles per gallon.</t>
  </si>
  <si>
    <t xml:space="preserve">   2/  Environmental Protection Agency rated miles per gallon.</t>
  </si>
  <si>
    <t xml:space="preserve">  Small Crossover Cars</t>
  </si>
  <si>
    <t xml:space="preserve">  Large Crossover Cars</t>
  </si>
  <si>
    <t xml:space="preserve">  Small Crossover Trucks</t>
  </si>
  <si>
    <t xml:space="preserve">  Large Crossover Trucks</t>
  </si>
  <si>
    <t>2018 to 2012, for AEO 2019</t>
  </si>
  <si>
    <t>2018 cost of EV bus</t>
  </si>
  <si>
    <t>Environmental and Energy Study Institute</t>
  </si>
  <si>
    <t>Fact Sheet: Battery Electric Buses: Benefits Outweigh Costs</t>
  </si>
  <si>
    <t>https://www.eesi.org/papers/view/fact-sheet-electric-buses-benefits-outweigh-costs</t>
  </si>
  <si>
    <t>LPG vehicle</t>
  </si>
  <si>
    <t>hydrogen vehicle</t>
  </si>
  <si>
    <t>Price ($/vehicle)</t>
  </si>
  <si>
    <t>For estimating electric and hydrogen vehicle prices, we apply the ratios</t>
  </si>
  <si>
    <t>from the passenger HDVs category.</t>
  </si>
  <si>
    <t>ref2020.d112119a</t>
  </si>
  <si>
    <t>Annual Energy Outlook 2020</t>
  </si>
  <si>
    <t>ref2020</t>
  </si>
  <si>
    <t>d112119a</t>
  </si>
  <si>
    <t xml:space="preserve"> January 2020</t>
  </si>
  <si>
    <t>TSK000</t>
  </si>
  <si>
    <t>39. Light-Duty Vehicle Stock by Technology Type</t>
  </si>
  <si>
    <t>(millions)</t>
  </si>
  <si>
    <t>2019-</t>
  </si>
  <si>
    <t>Car Stock 1/</t>
  </si>
  <si>
    <t>TSK000:ba_GasolineICEVe</t>
  </si>
  <si>
    <t>TSK000:ba_TDIDieselICE</t>
  </si>
  <si>
    <t>TSK000:ba_TotalConventi</t>
  </si>
  <si>
    <t>TSK000:ca_Ethanol-FlexF</t>
  </si>
  <si>
    <t>TSK000:ca_100mileEV</t>
  </si>
  <si>
    <t>TSK000:ca_ElectricVehic</t>
  </si>
  <si>
    <t>TSK000:ea_FuelCellGasol</t>
  </si>
  <si>
    <t>TSK000:ca_Plug-inGasoli</t>
  </si>
  <si>
    <t>TSK000:ca_Plug-in40Hybd</t>
  </si>
  <si>
    <t>TSK000:ca_Electric-Dies</t>
  </si>
  <si>
    <t>TSK000:ca_Electric-Gaso</t>
  </si>
  <si>
    <t>TSK000:ca_CompressedNat</t>
  </si>
  <si>
    <t>TSK000:da_CompressedNat</t>
  </si>
  <si>
    <t>TSK000:da_LiquefiedPetr</t>
  </si>
  <si>
    <t>TSK000:ea_LiquefiedPetr</t>
  </si>
  <si>
    <t>TSK000:ea_FuelCellMetha</t>
  </si>
  <si>
    <t>TSK000:ea_FuelCellHydro</t>
  </si>
  <si>
    <t>TSK000:ea_TotalAlternat</t>
  </si>
  <si>
    <t>TSK000:fa_TotalNewCarSa</t>
  </si>
  <si>
    <t>Total Car Stock</t>
  </si>
  <si>
    <t>Light Truck Stock 1/</t>
  </si>
  <si>
    <t>TSK000:ga_GasolineICEVe</t>
  </si>
  <si>
    <t>TSK000:ga_TDIDieselICE</t>
  </si>
  <si>
    <t>TSK000:ga_TotalConventi</t>
  </si>
  <si>
    <t>TSK000:ha_Ethanol-FlexF</t>
  </si>
  <si>
    <t>TSK000:ha_100mileEV</t>
  </si>
  <si>
    <t>TSK000:ha_ElectricVehic</t>
  </si>
  <si>
    <t>TSK000:ja_FuelCellGasol</t>
  </si>
  <si>
    <t>TSK000:ha_Plug-inGasoli</t>
  </si>
  <si>
    <t>TSK000:ha_Plug-in40Hybd</t>
  </si>
  <si>
    <t>TSK000:ha_Electric-Dies</t>
  </si>
  <si>
    <t>TSK000:ha_Electric-Gaso</t>
  </si>
  <si>
    <t>TSK000:ha_CompressedNat</t>
  </si>
  <si>
    <t>TSK000:ia_CompressedNat</t>
  </si>
  <si>
    <t>TSK000:ia_LiquefiedPetr</t>
  </si>
  <si>
    <t>TSK000:ja_LiquefiedPetr</t>
  </si>
  <si>
    <t>TSK000:ja_FuelCellMetha</t>
  </si>
  <si>
    <t>TSK000:ja_FuelCellHydro</t>
  </si>
  <si>
    <t>TSK000:ja_TotalAlternat</t>
  </si>
  <si>
    <t>TSK000:ka_TotalNewTruck</t>
  </si>
  <si>
    <t>Total Light Truck Stock</t>
  </si>
  <si>
    <t>TSK000:la_TotalVehicleS</t>
  </si>
  <si>
    <t>Total Stock</t>
  </si>
  <si>
    <t xml:space="preserve">   1/ Includes personal and fleet vehicles.</t>
  </si>
  <si>
    <t xml:space="preserve">   Sources:  2019 and projections:  U.S. Energy Information Administration (EIA), AEO2020 National Energy Modeling System run ref2020.d112119a.</t>
  </si>
  <si>
    <t>42. Summary of New Light-Duty Vehicle Size Class Attributes</t>
  </si>
  <si>
    <t>TCA000:ba_SmallCrossCar</t>
  </si>
  <si>
    <t>TCA000:ba_LargeCrossCar</t>
  </si>
  <si>
    <t>TCA000:da_SmallCrossTrk</t>
  </si>
  <si>
    <t>TCA000:da_LargeCrossTrk</t>
  </si>
  <si>
    <t>TCA000:fa_SmallCrossCar</t>
  </si>
  <si>
    <t>TCA000:fa_LargeCrossCar</t>
  </si>
  <si>
    <t>TCA000:ga_SmallCrossTrk</t>
  </si>
  <si>
    <t>TCA000:ga_LargeCrossTrk</t>
  </si>
  <si>
    <t>TCA000:ia_SmallCrossCar</t>
  </si>
  <si>
    <t>TCA000:ia_LargeCrossCar</t>
  </si>
  <si>
    <t>TCA000:ja_SmallCrossTrk</t>
  </si>
  <si>
    <t>TCA000:ja_LargeCrossTrk</t>
  </si>
  <si>
    <t>TCA000:ja_SmallCrossCar</t>
  </si>
  <si>
    <t>TCA000:ja_LargeCrossCar</t>
  </si>
  <si>
    <t>TCA000:ka_SmallCrossTrk</t>
  </si>
  <si>
    <t>TCA000:ka_LargeCrossTrk</t>
  </si>
  <si>
    <t>TCA000:la_SmallCrossCar</t>
  </si>
  <si>
    <t>TCA000:la_LargeCrossCar</t>
  </si>
  <si>
    <t>TCA000:ma_SmallCrossTrk</t>
  </si>
  <si>
    <t>TCA000:ma_LargeCrossTrk</t>
  </si>
  <si>
    <t>52. New Light-Duty Vehicle Prices</t>
  </si>
  <si>
    <t>(thousand 2019 dollars)</t>
  </si>
  <si>
    <t>LDP000:ba_SmallCrossCar</t>
  </si>
  <si>
    <t>LDP000:ba_LargeCrossCar</t>
  </si>
  <si>
    <t>LDP000:ba_SmallCrossTrk</t>
  </si>
  <si>
    <t>LDP000:ba_LargeCrossTrk</t>
  </si>
  <si>
    <t>LDP000:ca_SmallCrossCar</t>
  </si>
  <si>
    <t>LDP000:ca_LargeCrossCar</t>
  </si>
  <si>
    <t>LDP000:ca_SmallCrossTrk</t>
  </si>
  <si>
    <t>LDP000:ca_LargeCrossTrk</t>
  </si>
  <si>
    <t>LDP000:fa_SmallCrossCar</t>
  </si>
  <si>
    <t>LDP000:fa_LargeCrossCar</t>
  </si>
  <si>
    <t>LDP000:fa_SmallCrossTrk</t>
  </si>
  <si>
    <t>LDP000:fa_LargeCrossTrk</t>
  </si>
  <si>
    <t>LDP000:da_SmallCrossCar</t>
  </si>
  <si>
    <t>LDP000:da_LargeCrossCar</t>
  </si>
  <si>
    <t>LDP000:da_SmallCrossTrk</t>
  </si>
  <si>
    <t>LDP000:da_LargeCrossTrk</t>
  </si>
  <si>
    <t>LDP000:ha_SmallCrossCar</t>
  </si>
  <si>
    <t>LDP000:ha_LargeCrossCar</t>
  </si>
  <si>
    <t>LDP000:ha_SmallCrossTrk</t>
  </si>
  <si>
    <t>LDP000:ha_LargeCrossTrk</t>
  </si>
  <si>
    <t>LDP000:ja_SmallCrossCar</t>
  </si>
  <si>
    <t>LDP000:ja_LargeCrossCar</t>
  </si>
  <si>
    <t>LDP000:ja_SmallCrossTrk</t>
  </si>
  <si>
    <t>LDP000:ja_LargeCrossTrk</t>
  </si>
  <si>
    <t>LDP000:ka_SmallCrossCar</t>
  </si>
  <si>
    <t>LDP000:ka_LargeCrossCar</t>
  </si>
  <si>
    <t>LDP000:ka_SmallCrossTrk</t>
  </si>
  <si>
    <t>LDP000:ka_LargeCrossTrk</t>
  </si>
  <si>
    <t>LDP000:la_SmallCrossCar</t>
  </si>
  <si>
    <t>LDP000:la_LargeCrossCar</t>
  </si>
  <si>
    <t>LDP000:la_SmallCrossTrk</t>
  </si>
  <si>
    <t>LDP000:la_LargeCrossTrk</t>
  </si>
  <si>
    <t>LDP000:na_SmallCrossCar</t>
  </si>
  <si>
    <t>LDP000:na_LargeCrossCar</t>
  </si>
  <si>
    <t>LDP000:na_SmallCrossTrk</t>
  </si>
  <si>
    <t>LDP000:na_LargeCrossTrk</t>
  </si>
  <si>
    <t>LDP000:ga_SmallCrossCar</t>
  </si>
  <si>
    <t>LDP000:ga_LargeCrossCar</t>
  </si>
  <si>
    <t>LDP000:ga_SmallCrossTrk</t>
  </si>
  <si>
    <t>LDP000:ga_LargeCrossTrk</t>
  </si>
  <si>
    <t>LDP000:oa_SmallCrossCar</t>
  </si>
  <si>
    <t>LDP000:oa_LargeCrossCar</t>
  </si>
  <si>
    <t>LDP000:oa_SmallCrossTrk</t>
  </si>
  <si>
    <t>LDP000:oa_LargeCrossTrk</t>
  </si>
  <si>
    <t>LDP000:va_SmallCrossCar</t>
  </si>
  <si>
    <t>LDP000:va_LargeCrossCar</t>
  </si>
  <si>
    <t>LDP000:va_SmallCrossTrk</t>
  </si>
  <si>
    <t>LDP000:va_LargeCrossTrk</t>
  </si>
  <si>
    <t>LDP000:pa_SmallCrossCar</t>
  </si>
  <si>
    <t>LDP000:pa_LargeCrossCar</t>
  </si>
  <si>
    <t>LDP000:pa_SmallCrossTrk</t>
  </si>
  <si>
    <t>LDP000:pa_LargeCrossTrk</t>
  </si>
  <si>
    <t>LDP000:ra_SmallCrossCar</t>
  </si>
  <si>
    <t>LDP000:ra_LargeCrossCar</t>
  </si>
  <si>
    <t>LDP000:ra_SmallCrossTrk</t>
  </si>
  <si>
    <t>LDP000:ra_LargeCrossTrk</t>
  </si>
  <si>
    <t>LDP000:sa_SmallCrossCar</t>
  </si>
  <si>
    <t>LDP000:sa_LargeCrossCar</t>
  </si>
  <si>
    <t>LDP000:sa_SmallCrossTrk</t>
  </si>
  <si>
    <t>LDP000:sa_LargeCrossTrk</t>
  </si>
  <si>
    <t>LDP000:ta_SmallCrossCar</t>
  </si>
  <si>
    <t>LDP000:ta_LargeCrossCar</t>
  </si>
  <si>
    <t>LDP000:ta_SmallCrossTrk</t>
  </si>
  <si>
    <t>LDP000:ta_LargeCrossTrk</t>
  </si>
  <si>
    <t xml:space="preserve">   Sources:  2019:  U.S. Energy Information Administration (EIA), Short-Term Energy</t>
  </si>
  <si>
    <t>Outlook, October 2019 and EIA, AEO2020 National Energy Modeling System run ref2020.d112119a.</t>
  </si>
  <si>
    <t>Projections:  EIA, AEO2020 National Energy Modeling System run ref2020.d112119a.</t>
  </si>
  <si>
    <t>Energy and Environmental Economics (E3)</t>
  </si>
  <si>
    <t>Achieving Carbon Neutrality in California (Revised Report): 2045 Abatement Cost Estimates</t>
  </si>
  <si>
    <t>https://ww2.arb.ca.gov/sites/default/files/2020-10/e3_cn_final_cost_data_supplement_oct2020.xlsx</t>
  </si>
  <si>
    <t>"MDV &amp; HDV Decarbonization" sheet</t>
  </si>
  <si>
    <t>BEV</t>
  </si>
  <si>
    <t>2019 to 2012, for AEO 2020</t>
  </si>
  <si>
    <t>Source: CARB</t>
  </si>
  <si>
    <t>https://ww3.arb.ca.gov/regact/2019/act2019/isor.pdf</t>
  </si>
  <si>
    <t>PUBLIC HEARING TO CONSIDER THE PROPOSED ADVANCED CLEAN TRUCKS REGULATION</t>
  </si>
  <si>
    <t>Class 2b-3 Pickup/Van</t>
  </si>
  <si>
    <t>Tractors</t>
  </si>
  <si>
    <t>2021-2023 MY</t>
  </si>
  <si>
    <t>2024-2026 MY</t>
  </si>
  <si>
    <t>2027-2030 MY</t>
  </si>
  <si>
    <t>LDV Freight</t>
  </si>
  <si>
    <t>HDV Freight</t>
  </si>
  <si>
    <t>Gasoline and Diesel Vehicle Starting Prices:</t>
  </si>
  <si>
    <t>Class 2b-3 - Gasoline</t>
  </si>
  <si>
    <t>Class 2b-3 - Diesel</t>
  </si>
  <si>
    <t>Class 4-5</t>
  </si>
  <si>
    <t>Class 6-7</t>
  </si>
  <si>
    <t>Class 8</t>
  </si>
  <si>
    <t>Vehicle Group</t>
  </si>
  <si>
    <t>Vehicle Price</t>
  </si>
  <si>
    <t>FCEV</t>
  </si>
  <si>
    <t>Color Key:</t>
  </si>
  <si>
    <t>Model Year</t>
  </si>
  <si>
    <t>Class 2b-3</t>
  </si>
  <si>
    <t>Class 7-8 Tractor</t>
  </si>
  <si>
    <t>Vocational Vehicles*</t>
  </si>
  <si>
    <t>Calculated LDV Average</t>
  </si>
  <si>
    <t>Copied from CARB source</t>
  </si>
  <si>
    <t>Class 7-8 Tractors</t>
  </si>
  <si>
    <t>CARB</t>
  </si>
  <si>
    <t>Public Hearing to Consider the Proposed Advanced Clean Trucks Regulation. Initial Statement of Reasons (ISOR).</t>
  </si>
  <si>
    <t>Tables IX-2, IX-6, IX-7, IX-9</t>
  </si>
  <si>
    <t xml:space="preserve">vehicles. </t>
  </si>
  <si>
    <t>For freight LDVs, we calculate a CA-specific value for gasoline, diesel, and BEV</t>
  </si>
  <si>
    <t>LDV-passenger</t>
  </si>
  <si>
    <t>LDV-freight</t>
  </si>
  <si>
    <t>HDV-passenger</t>
  </si>
  <si>
    <t>HDV-freight</t>
  </si>
  <si>
    <t>Sales - diesel and gasoline</t>
  </si>
  <si>
    <t>sum</t>
  </si>
  <si>
    <t>Sales Share (2024-2030)</t>
  </si>
  <si>
    <t xml:space="preserve">For LDVs-freight and LDV-passenger vehicles fueled by combustion of </t>
  </si>
  <si>
    <t>gasoline, diesel, or natural, vehicle prices are assume constant in the years</t>
  </si>
  <si>
    <t xml:space="preserve">after the end of performance improvements required in regulation. </t>
  </si>
  <si>
    <t xml:space="preserve">For example, LDV-psg regulation currently extends to the year 2025, and so </t>
  </si>
  <si>
    <t>their prices remain constant in 2026 and later years.</t>
  </si>
  <si>
    <t xml:space="preserve">As with LDVs, HDV-freight vehicles fueled by combustion of </t>
  </si>
  <si>
    <t>after the end of performance improvements required in regulation, i.e.</t>
  </si>
  <si>
    <t>after 2027 for HDV-freight (as for LDV-freight)</t>
  </si>
  <si>
    <t xml:space="preserve">For HDV passenger, current vehicle prices are first found. </t>
  </si>
  <si>
    <t>Then, trends in LDVs prices from the EIA (AEO 53)</t>
  </si>
  <si>
    <t>are used to establish the prices for different technologies and to extend</t>
  </si>
  <si>
    <t>Average</t>
  </si>
  <si>
    <t>Year</t>
  </si>
  <si>
    <t>Battery Cost [2019 dollars / kilowatt-hour (kWh)]</t>
  </si>
  <si>
    <t>"Update on electric vehicle costs in the United States through 2030"</t>
  </si>
  <si>
    <t>https://theicct.org/sites/default/files/publications/EV_cost_2020_2030_20190401.pdf</t>
  </si>
  <si>
    <t>Vehicle with battery</t>
  </si>
  <si>
    <t>2012 $s</t>
  </si>
  <si>
    <t>2018 $s</t>
  </si>
  <si>
    <t>SUVs (or "Truck SUV")</t>
  </si>
  <si>
    <t>Light truck (or "pickup")</t>
  </si>
  <si>
    <t>Other direct</t>
  </si>
  <si>
    <t>SUVs</t>
  </si>
  <si>
    <t>Light truck</t>
  </si>
  <si>
    <t>UBS Vehicle (compact car)</t>
  </si>
  <si>
    <t>Scaled up at 5.5% for cars and crossovers (simple average of 5 and 6) and 21% for SUVs</t>
  </si>
  <si>
    <t>Cars and crossovers</t>
  </si>
  <si>
    <t>Truck SUV</t>
  </si>
  <si>
    <t>Pickup</t>
  </si>
  <si>
    <t>Electric powertrain</t>
  </si>
  <si>
    <t xml:space="preserve">Subtotal </t>
  </si>
  <si>
    <t>Mfg profit margin</t>
  </si>
  <si>
    <t>Dealer margin</t>
  </si>
  <si>
    <t>LDV weighted avg</t>
  </si>
  <si>
    <t>Car</t>
  </si>
  <si>
    <t xml:space="preserve">Gasoline-specific inputs </t>
  </si>
  <si>
    <t>UBS compact</t>
  </si>
  <si>
    <t>SUV</t>
  </si>
  <si>
    <t>Conventional powertrain</t>
  </si>
  <si>
    <t xml:space="preserve">Find weighted average cost for gasoline-fueled light duty using specs for full size SUVs and pickups as inputs </t>
  </si>
  <si>
    <t>Within light duty truck category</t>
  </si>
  <si>
    <t>Light duty truck</t>
  </si>
  <si>
    <t>Imputed cost before manufacturer profit margin</t>
  </si>
  <si>
    <t>Next calculate and include manufacturer and dealer profit margins</t>
  </si>
  <si>
    <t>Subtotal</t>
  </si>
  <si>
    <t>Retail markup</t>
  </si>
  <si>
    <t>Cost with manufacturing margin</t>
  </si>
  <si>
    <t>Price with dealer margin</t>
  </si>
  <si>
    <t>California Air Resources Board</t>
  </si>
  <si>
    <t>California's Advanced Clean Cars Midterm Review Report</t>
  </si>
  <si>
    <t>https://ww2.arb.ca.gov/sites/default/files/2020-01/ACC%20MTR%20Summary_Ac.pdf</t>
  </si>
  <si>
    <t>Apply $875 "Final Determination" value on a linear schedule over 2018-2025</t>
  </si>
  <si>
    <t>Adder</t>
  </si>
  <si>
    <t>This implies an annual adder of:</t>
  </si>
  <si>
    <t>Time (Year)</t>
  </si>
  <si>
    <t>https://about.bnef.com/blog/behind-scenes-take-lithium-ion-battery-prices/</t>
  </si>
  <si>
    <t>This Year Battery Cost as Fraction of First Year Battery Cost : BAU</t>
  </si>
  <si>
    <t>PHEV</t>
  </si>
  <si>
    <t>The production-weighted loaded vehicle weight of pickups, vans, and truck SUVs increased from 1975 to 2018. Pickups gained more than 1,100 lb while vans gained 290 lb and truck SUVs gained 225 lb.</t>
  </si>
  <si>
    <t>The production-weighted loaded vehicle weight of cars declined by 525 lb from 1975 to 2018, while car SUVs declined by 222 lb.</t>
  </si>
  <si>
    <r>
      <t>Table 4.18</t>
    </r>
    <r>
      <rPr>
        <b/>
        <sz val="11"/>
        <color rgb="FFFF0000"/>
        <rFont val="Times New Roman"/>
        <family val="1"/>
      </rPr>
      <t xml:space="preserve"> (Updated April 2019)</t>
    </r>
  </si>
  <si>
    <t xml:space="preserve">Production-Weighted Loaded Vehicle Weight of New </t>
  </si>
  <si>
    <r>
      <t xml:space="preserve">Table 4.17 </t>
    </r>
    <r>
      <rPr>
        <b/>
        <sz val="11"/>
        <color rgb="FFFF0000"/>
        <rFont val="Times New Roman"/>
        <family val="1"/>
      </rPr>
      <t>(Updated April 2019)</t>
    </r>
  </si>
  <si>
    <t>Domestic and Import Light Trucks</t>
  </si>
  <si>
    <t>Production-Weighted Loaded Vehicle Weight of New Domestic and Import Cars</t>
  </si>
  <si>
    <t>Model Years 1975-2018</t>
  </si>
  <si>
    <t>(pounds)</t>
  </si>
  <si>
    <t xml:space="preserve">Calculated </t>
  </si>
  <si>
    <t>Van</t>
  </si>
  <si>
    <t>Car SUV</t>
  </si>
  <si>
    <r>
      <t xml:space="preserve"> 2018</t>
    </r>
    <r>
      <rPr>
        <vertAlign val="superscript"/>
        <sz val="10"/>
        <color theme="1"/>
        <rFont val="Times New Roman"/>
        <family val="1"/>
      </rPr>
      <t>b</t>
    </r>
  </si>
  <si>
    <t>Annual average percentage change</t>
  </si>
  <si>
    <t>1975-2018</t>
  </si>
  <si>
    <t>2008-2018</t>
  </si>
  <si>
    <r>
      <rPr>
        <b/>
        <sz val="10"/>
        <color indexed="8"/>
        <rFont val="Times New Roman"/>
        <family val="1"/>
      </rPr>
      <t xml:space="preserve">Note: </t>
    </r>
    <r>
      <rPr>
        <sz val="10"/>
        <color indexed="8"/>
        <rFont val="Times New Roman"/>
        <family val="1"/>
      </rPr>
      <t xml:space="preserve"> Data include pickups, vans, and truck SUV less than 8,500 lb. Beginning with 2011, truck SUVs and passenger vans up to 10,000 lb were also included.</t>
    </r>
  </si>
  <si>
    <r>
      <rPr>
        <vertAlign val="superscript"/>
        <sz val="10"/>
        <color indexed="8"/>
        <rFont val="Times New Roman"/>
        <family val="1"/>
      </rPr>
      <t>a</t>
    </r>
    <r>
      <rPr>
        <sz val="10"/>
        <color indexed="8"/>
        <rFont val="Times New Roman"/>
        <family val="1"/>
      </rPr>
      <t xml:space="preserve"> Loaded vehicle weight is equal to the vehicle’s curb weight plus 300 pounds.</t>
    </r>
  </si>
  <si>
    <r>
      <t>b</t>
    </r>
    <r>
      <rPr>
        <sz val="10"/>
        <color indexed="8"/>
        <rFont val="Times New Roman"/>
        <family val="1"/>
      </rPr>
      <t xml:space="preserve"> Data for 2018 are preliminary.</t>
    </r>
  </si>
  <si>
    <t>Ratio of engine size pickup to truck SUV</t>
  </si>
  <si>
    <t>Share of cars</t>
  </si>
  <si>
    <t>Share of crossovers</t>
  </si>
  <si>
    <t>Range</t>
  </si>
  <si>
    <t>ICCT, p.7</t>
  </si>
  <si>
    <t>Source</t>
  </si>
  <si>
    <t xml:space="preserve">Assumed </t>
  </si>
  <si>
    <t>Electric</t>
  </si>
  <si>
    <t>Use this factor to scale up powertrain requirements (including battery)</t>
  </si>
  <si>
    <t>Ratio of weight pickup over truck SUV</t>
  </si>
  <si>
    <t>200 mile</t>
  </si>
  <si>
    <t>Total New Car Sales</t>
  </si>
  <si>
    <t>Total New Light Truck Sales</t>
  </si>
  <si>
    <t>Percent Alternative Car Sales</t>
  </si>
  <si>
    <t>Percent Alternative Light Truck Sales</t>
  </si>
  <si>
    <t>Percent Total Alternative Sales</t>
  </si>
  <si>
    <t>EPACT Legislative  Alternative Sales</t>
  </si>
  <si>
    <t>ZEVP Legislative Alternative Sales</t>
  </si>
  <si>
    <t>Total Vehicles Sales</t>
  </si>
  <si>
    <t>Total Alternative-Fueled Vehicle Sales</t>
  </si>
  <si>
    <t>Battery cost (2012$s)</t>
  </si>
  <si>
    <t>Vehicle cost apart from battery (2012$s)</t>
  </si>
  <si>
    <t>Retail price before indirect</t>
  </si>
  <si>
    <t>LDV psg market segment costs before accounting for fuel efficiency technologies anticipated for compliance with current regulation.</t>
  </si>
  <si>
    <t>Fraction of 2019 (start year)</t>
  </si>
  <si>
    <t xml:space="preserve">PHEV equals </t>
  </si>
  <si>
    <t>Battery</t>
  </si>
  <si>
    <t>In 2012 $s for rows 20 and 21</t>
  </si>
  <si>
    <t>For freight HDVs, we calculate a CA-specific value for diesel, BEV,</t>
  </si>
  <si>
    <t xml:space="preserve">and FCEV/hydrogen vehicles. </t>
  </si>
  <si>
    <t>Natural gas is reserved for LDV-freight.</t>
  </si>
  <si>
    <t>Hydrogen is reserved for HDV-freight.</t>
  </si>
  <si>
    <t>Within trucks for freight cargo</t>
  </si>
  <si>
    <t xml:space="preserve">Diesel - not gasoline - is within the choice set. </t>
  </si>
  <si>
    <t>CA-specific data and calculations for freight LDVs and freight HDVs.</t>
  </si>
  <si>
    <t>are available in the orange-colored tabs.</t>
  </si>
  <si>
    <t>LDV-passenger (psgr) data and calculations are in blue tabs.  A bottom-up method accounting</t>
  </si>
  <si>
    <t>for component costs is used, primarily based on the ICCT / Lutsey source.</t>
  </si>
  <si>
    <t xml:space="preserve">For other vehicle types, we use machine-generated downscaled data from the US EPS. </t>
  </si>
  <si>
    <t>Truck</t>
  </si>
  <si>
    <t>Total</t>
  </si>
  <si>
    <t>Calculations</t>
  </si>
  <si>
    <t>Future Year Compliance Costs</t>
  </si>
  <si>
    <t>Table 3 (p. 5)</t>
  </si>
  <si>
    <t>ICCT (The International Council on Clean Transportation)</t>
  </si>
  <si>
    <t xml:space="preserve">Other values are inferred from these and other references. </t>
  </si>
  <si>
    <t>Source: Hard-coded values highlighted in green are from ICCT.</t>
  </si>
  <si>
    <t>2018 Automotive Trends Report</t>
  </si>
  <si>
    <t>https://www.epa.gov/automotive-trends</t>
  </si>
  <si>
    <t>Pickup / Truck SUV</t>
  </si>
  <si>
    <t xml:space="preserve">A value of zero indicates that a technology is considered not available. </t>
  </si>
  <si>
    <t>Source: ICCT (p. 4)</t>
  </si>
  <si>
    <t>Cars</t>
  </si>
  <si>
    <t>Crossovers</t>
  </si>
  <si>
    <t>Breakdown of LDV Sales</t>
  </si>
  <si>
    <t>Pickup Trucks</t>
  </si>
  <si>
    <t>Estimating Vehicle Shares</t>
  </si>
  <si>
    <t>Note: ICCT's vehicle shares may not align with light vehicle production shares data from EPA's 2018 Automotive Trends Report (in the 'EPA 2018 ATR' sheet).</t>
  </si>
  <si>
    <t>Pickups</t>
  </si>
  <si>
    <t>Truck SUVs</t>
  </si>
  <si>
    <t>Light Trucks</t>
  </si>
  <si>
    <t>Dealer profit margin</t>
  </si>
  <si>
    <t>Assumption</t>
  </si>
  <si>
    <t>Value</t>
  </si>
  <si>
    <t>Constant across vehicle types</t>
  </si>
  <si>
    <t>We have not identified the industry average yet, but have found copius anecdotal evidence of higher profits in this segment, e.g. https://www.autonews.com/article/20150428/BLOG06/150429797/the-f-150-ford-s-heavy-duty-profit-hauler</t>
  </si>
  <si>
    <t>Crossover</t>
  </si>
  <si>
    <t>Manufacturer profit margin: car</t>
  </si>
  <si>
    <t>Manufacturer profit margin: crossover</t>
  </si>
  <si>
    <t>Manufacturer profit margin: SUV (full size or truck SUV)</t>
  </si>
  <si>
    <t>Manufacturer profit margin: pickup</t>
  </si>
  <si>
    <t>Note: ICCT adds sales tax.  The EPS handles this independently.</t>
  </si>
  <si>
    <t>Manufacturer and Dealer Profit Margins</t>
  </si>
  <si>
    <t>Light trucks</t>
  </si>
  <si>
    <t>ICCT Electric Vehicle Component Cost Data</t>
  </si>
  <si>
    <t>Weighted Average LDV Cost</t>
  </si>
  <si>
    <t>Adjustment Factors</t>
  </si>
  <si>
    <t>SUVs/Truck SUVs</t>
  </si>
  <si>
    <t>Electric vehicle powertrain costs (excluding battery)</t>
  </si>
  <si>
    <t>Thermal management</t>
  </si>
  <si>
    <t>Power distribution module</t>
  </si>
  <si>
    <t>Inverter/converter</t>
  </si>
  <si>
    <t>Electric drive module</t>
  </si>
  <si>
    <t>DC converter</t>
  </si>
  <si>
    <t>Controller</t>
  </si>
  <si>
    <t>Control module</t>
  </si>
  <si>
    <t>High voltage cables</t>
  </si>
  <si>
    <t>On-board charger</t>
  </si>
  <si>
    <t>Charging cord</t>
  </si>
  <si>
    <t>Truck to SUV adjustment factor (2019 Transport Energy Data Book). "Cars and crossovers" to SUVs adjustment factor (value used in ICCT analysis, i.e. 150 KW vs 220 kW)</t>
  </si>
  <si>
    <t>EV Powertrain Costs (not including battery)</t>
  </si>
  <si>
    <t>Other Direct Costs</t>
  </si>
  <si>
    <t>Other direct costs</t>
  </si>
  <si>
    <t>Vehicle assembly</t>
  </si>
  <si>
    <t>Adjustment factor applied to USB values following ICCT method</t>
  </si>
  <si>
    <t>Profit Margins</t>
  </si>
  <si>
    <t>Indirect costs</t>
  </si>
  <si>
    <t>2017 Electric</t>
  </si>
  <si>
    <t>2025 Electric</t>
  </si>
  <si>
    <t>Indirect Costs</t>
  </si>
  <si>
    <t>2018 Subtotal Before Indirect Costs</t>
  </si>
  <si>
    <t>Manufacturing profit margin</t>
  </si>
  <si>
    <t>Battery size (kWh)</t>
  </si>
  <si>
    <t>Battery cost (2012$)</t>
  </si>
  <si>
    <t>Battery cost (2019$)</t>
  </si>
  <si>
    <t>Battery cost ($ / kWh)</t>
  </si>
  <si>
    <t>Bloomberg Battery Costs</t>
  </si>
  <si>
    <t>2019 cost: https://about.bnef.com/blog/battery-pack-prices-fall-as-market-ramps-up-with-market-average-at-156-kwh-in-2019/</t>
  </si>
  <si>
    <t>US EPS Results</t>
  </si>
  <si>
    <t>3.1 results retrieved 01/11/2021</t>
  </si>
  <si>
    <t>Note: Orange-colored tabs contain freight data and calculations.</t>
  </si>
  <si>
    <t>Note: Blue-colored tabs contain LDV-psgr data and calculations.</t>
  </si>
  <si>
    <t>fuel economy per 100 mi</t>
  </si>
  <si>
    <t>Ford Mustang Mach E</t>
  </si>
  <si>
    <t xml:space="preserve">kWh usable </t>
  </si>
  <si>
    <t>Rivian</t>
  </si>
  <si>
    <t>200 mile battery</t>
  </si>
  <si>
    <t>300 mile battery</t>
  </si>
  <si>
    <t>RWD extended</t>
  </si>
  <si>
    <t>GT Performance</t>
  </si>
  <si>
    <t>GT</t>
  </si>
  <si>
    <t>Tesla Model X</t>
  </si>
  <si>
    <t>Calculated using best value since future gains unspecified</t>
  </si>
  <si>
    <t>Audi e-tron</t>
  </si>
  <si>
    <t>Main model</t>
  </si>
  <si>
    <t>https://www.caranddriver.com/news/a37888423/mercedes-benz-eqs-range-specs/</t>
  </si>
  <si>
    <t>Mercedes EQS580</t>
  </si>
  <si>
    <t>Mean of two models</t>
  </si>
  <si>
    <t>https://www.caranddriver.com/news/a38552140/2022-ford-f-150-lightning-battery-specs-revealed/</t>
  </si>
  <si>
    <t>https://www.ford.com/trucks/f150/f150-lightning/</t>
  </si>
  <si>
    <t xml:space="preserve">Lightning </t>
  </si>
  <si>
    <t>KWh</t>
  </si>
  <si>
    <t>Mile range</t>
  </si>
  <si>
    <t>300 miles range estimate</t>
  </si>
  <si>
    <t>200 miles range estimate</t>
  </si>
  <si>
    <t>Chev. Bolt</t>
  </si>
  <si>
    <t>Compact</t>
  </si>
  <si>
    <t>Nissan</t>
  </si>
  <si>
    <t>Tesla Model S</t>
  </si>
  <si>
    <t>Tesla Model 3</t>
  </si>
  <si>
    <t>Sedan</t>
  </si>
  <si>
    <t>Tesla Model Y</t>
  </si>
  <si>
    <t>percent</t>
  </si>
  <si>
    <t>52-AEO2022.82.ref2022-d011222a</t>
  </si>
  <si>
    <t>New Vehicle Attributes: Sales Shares: Light Trucks: Large Crossover: AEO2022 Reference case</t>
  </si>
  <si>
    <t>Large Crossover Utility</t>
  </si>
  <si>
    <t>52-AEO2022.81.ref2022-d011222a</t>
  </si>
  <si>
    <t>New Vehicle Attributes: Sales Shares: Light Trucks: Small Crossover: AEO2022 Reference case</t>
  </si>
  <si>
    <t>Small Crossover Utility</t>
  </si>
  <si>
    <t>52-AEO2022.80.ref2022-d011222a</t>
  </si>
  <si>
    <t>New Vehicle Attributes: Sales Shares: Light Trucks: Large Utility: AEO2022 Reference case</t>
  </si>
  <si>
    <t>Large Utility</t>
  </si>
  <si>
    <t>52-AEO2022.79.ref2022-d011222a</t>
  </si>
  <si>
    <t>New Vehicle Attributes: Sales Shares: Light Trucks: Small Utility: AEO2022 Reference case</t>
  </si>
  <si>
    <t>Small Utility</t>
  </si>
  <si>
    <t>52-AEO2022.78.ref2022-d011222a</t>
  </si>
  <si>
    <t>New Vehicle Attributes: Sales Shares: Light Trucks: Large Van: AEO2022 Reference case</t>
  </si>
  <si>
    <t>Large Van</t>
  </si>
  <si>
    <t>52-AEO2022.77.ref2022-d011222a</t>
  </si>
  <si>
    <t>New Vehicle Attributes: Sales Shares: Light Trucks: Small Van: AEO2022 Reference case</t>
  </si>
  <si>
    <t>Small Van</t>
  </si>
  <si>
    <t>52-AEO2022.76.ref2022-d011222a</t>
  </si>
  <si>
    <t>New Vehicle Attributes: Sales Shares: Light Trucks: Large Pickup: AEO2022 Reference case</t>
  </si>
  <si>
    <t>Large Pickup</t>
  </si>
  <si>
    <t>52-AEO2022.75.ref2022-d011222a</t>
  </si>
  <si>
    <t>New Vehicle Attributes: Sales Shares: Light Trucks: Small Pickup: AEO2022 Reference case</t>
  </si>
  <si>
    <t>Small Pickup</t>
  </si>
  <si>
    <t>52-AEO2022.74.</t>
  </si>
  <si>
    <t>52-AEO2022.72.ref2022-d011222a</t>
  </si>
  <si>
    <t>New Vehicle Attributes: Sales Shares: Cars: Large Crossover: AEO2022 Reference case</t>
  </si>
  <si>
    <t>52-AEO2022.71.ref2022-d011222a</t>
  </si>
  <si>
    <t>New Vehicle Attributes: Sales Shares: Cars: Small Crossover: AEO2022 Reference case</t>
  </si>
  <si>
    <t>52-AEO2022.70.ref2022-d011222a</t>
  </si>
  <si>
    <t>New Vehicle Attributes: Sales Shares: Cars: Two Seater: AEO2022 Reference case</t>
  </si>
  <si>
    <t>Two Seater</t>
  </si>
  <si>
    <t>52-AEO2022.69.ref2022-d011222a</t>
  </si>
  <si>
    <t>New Vehicle Attributes: Sales Shares: Cars: Large: AEO2022 Reference case</t>
  </si>
  <si>
    <t>Large</t>
  </si>
  <si>
    <t>52-AEO2022.68.ref2022-d011222a</t>
  </si>
  <si>
    <t>New Vehicle Attributes: Sales Shares: Cars: Midsize: AEO2022 Reference case</t>
  </si>
  <si>
    <t>Midsize</t>
  </si>
  <si>
    <t>52-AEO2022.67.ref2022-d011222a</t>
  </si>
  <si>
    <t>New Vehicle Attributes: Sales Shares: Cars: Compact: AEO2022 Reference case</t>
  </si>
  <si>
    <t>52-AEO2022.66.ref2022-d011222a</t>
  </si>
  <si>
    <t>New Vehicle Attributes: Sales Shares: Cars: Subcompact: AEO2022 Reference case</t>
  </si>
  <si>
    <t>Subcompact</t>
  </si>
  <si>
    <t>52-AEO2022.65.ref2022-d011222a</t>
  </si>
  <si>
    <t>New Vehicle Attributes: Sales Shares: Cars: Minicompact: AEO2022 Reference case</t>
  </si>
  <si>
    <t>Minicompact</t>
  </si>
  <si>
    <t>52-AEO2022.64.</t>
  </si>
  <si>
    <t>52-AEO2022.63.</t>
  </si>
  <si>
    <t>Growth (2021-2050)</t>
  </si>
  <si>
    <t>units</t>
  </si>
  <si>
    <t>api key</t>
  </si>
  <si>
    <t>full name</t>
  </si>
  <si>
    <t>Source: U.S. Energy Information Administration</t>
  </si>
  <si>
    <t>Fri Apr 22 2022 05:49:46 GMT-0700 (Pacific Daylight Time)</t>
  </si>
  <si>
    <t>https://www.eia.gov/outlooks/aeo/data/browser/#/?id=52-AEO2022&amp;cases=ref2022&amp;sourcekey=0</t>
  </si>
  <si>
    <t>Table 42.  Summary of New Light-Duty Vehicle Size Class Attributes</t>
  </si>
  <si>
    <t>Avg %</t>
  </si>
  <si>
    <t>Mean composition %</t>
  </si>
  <si>
    <t>thousands</t>
  </si>
  <si>
    <t>48-AEO2022.80.ref2022-d011222a</t>
  </si>
  <si>
    <t>Light-Duty Vehicle Sales: Alternative-Fueled Vehicles: AEO2022 Reference case</t>
  </si>
  <si>
    <t>48-AEO2022.71.ref2022-d011222a</t>
  </si>
  <si>
    <t>Light-Duty Vehicle Sales: Microhybrids: TDI Diesel: AEO2022 Reference case</t>
  </si>
  <si>
    <t>TDI Diesel Microhybrids</t>
  </si>
  <si>
    <t>48-AEO2022.70.ref2022-d011222a</t>
  </si>
  <si>
    <t>Light-Duty Vehicle Sales: Microhybrids: Conventional Gasoline: AEO2022 Reference case</t>
  </si>
  <si>
    <t>Conventional Gasoline Microhybrids</t>
  </si>
  <si>
    <t>48-AEO2022.67.ref2022-d011222a</t>
  </si>
  <si>
    <t>Light-Duty Vehicle Sales: Total Vehicles Sales: AEO2022 Reference case</t>
  </si>
  <si>
    <t>48-AEO2022.66.ref2022-d011222a</t>
  </si>
  <si>
    <t>Light-Duty Vehicle Sales: Total Sales, Cars and Light Trucks: Fuel Cell: AEO2022 Reference case</t>
  </si>
  <si>
    <t>Fuel Cell</t>
  </si>
  <si>
    <t>48-AEO2022.65.ref2022-d011222a</t>
  </si>
  <si>
    <t>Light-Duty Vehicle Sales: Total Sales, Cars and Light Trucks: Gaseous: AEO2022 Reference case</t>
  </si>
  <si>
    <t>Gaseous (Propane and Natural Gas)</t>
  </si>
  <si>
    <t>48-AEO2022.64.ref2022-d011222a</t>
  </si>
  <si>
    <t>Light-Duty Vehicle Sales: Total Sales, Cars and Light Trucks: Electric Hybrid: AEO2022 Reference case</t>
  </si>
  <si>
    <t>Electric Hybrid</t>
  </si>
  <si>
    <t>48-AEO2022.63.ref2022-d011222a</t>
  </si>
  <si>
    <t>Light-Duty Vehicle Sales: Total Sales, Cars and Light Trucks: Plug-in Electric Hybrid: AEO2022 Reference case</t>
  </si>
  <si>
    <t>Plug-in Electric Hybrid</t>
  </si>
  <si>
    <t>48-AEO2022.62.ref2022-d011222a</t>
  </si>
  <si>
    <t>Light-Duty Vehicle Sales: Total Sales, Cars and Light Trucks: Electric: AEO2022 Reference case</t>
  </si>
  <si>
    <t>48-AEO2022.61.ref2022-d011222a</t>
  </si>
  <si>
    <t>Light-Duty Vehicle Sales: Total Sales, Cars and Light Trucks: Flex-Fuel: AEO2022 Reference case</t>
  </si>
  <si>
    <t>Flex-Fuel</t>
  </si>
  <si>
    <t>48-AEO2022.60.ref2022-d011222a</t>
  </si>
  <si>
    <t>Light-Duty Vehicle Sales: Total Sales, Cars and Light Trucks: TDI Diesel: AEO2022 Reference case</t>
  </si>
  <si>
    <t>TDI Diesel</t>
  </si>
  <si>
    <t>48-AEO2022.59.ref2022-d011222a</t>
  </si>
  <si>
    <t>Light-Duty Vehicle Sales: Total Sales, Cars and Light Trucks: Conventional Gasoline: AEO2022 Reference case</t>
  </si>
  <si>
    <t>Conventional Gasoline</t>
  </si>
  <si>
    <t>48-AEO2022.58.</t>
  </si>
  <si>
    <t xml:space="preserve"> Cars and Light Trucks</t>
  </si>
  <si>
    <t>Total Sales</t>
  </si>
  <si>
    <t>48-AEO2022.56.ref2022-d011222a</t>
  </si>
  <si>
    <t>Light-Duty Vehicle Sales: ZEVP Legislative Alternative Sales: AEO2022 Reference case</t>
  </si>
  <si>
    <t>48-AEO2022.55.ref2022-d011222a</t>
  </si>
  <si>
    <t>Light-Duty Vehicle Sales: EPACT Legislative Alternative Sales: AEO2022 Reference case</t>
  </si>
  <si>
    <t>48-AEO2022.54.ref2022-d011222a</t>
  </si>
  <si>
    <t>Light-Duty Vehicle Sales: Percent Total Alternative Sales: AEO2022 Reference case</t>
  </si>
  <si>
    <t>48-AEO2022.52.ref2022-d011222a</t>
  </si>
  <si>
    <t>Light-Duty Vehicle Sales: Total New Truck: AEO2022 Reference case</t>
  </si>
  <si>
    <t>48-AEO2022.51.ref2022-d011222a</t>
  </si>
  <si>
    <t>Light-Duty Vehicle Sales: Percent Alternative Light Truck Sales: AEO2022 Reference case</t>
  </si>
  <si>
    <t>48-AEO2022.49.ref2022-d011222a</t>
  </si>
  <si>
    <t>Light-Duty Vehicle Sales: Alternative-Fuel Light Trucks: Total: AEO2022 Reference case</t>
  </si>
  <si>
    <t>Total Alternative Light Trucks</t>
  </si>
  <si>
    <t>48-AEO2022.48.ref2022-d011222a</t>
  </si>
  <si>
    <t>Light-Duty Vehicle Sales: Alternative-Fuel Light Trucks: Fuel Cell Hydrogen: AEO2022 Reference case</t>
  </si>
  <si>
    <t>48-AEO2022.47.ref2022-d011222a</t>
  </si>
  <si>
    <t>Light-Duty Vehicle Sales: Alternative-Fuel Light Trucks: Fuel Cell Methanol: AEO2022 Reference case</t>
  </si>
  <si>
    <t>48-AEO2022.46.ref2022-d011222a</t>
  </si>
  <si>
    <t>Light-Duty Vehicle Sales: Alternative-Fuel Light Trucks: Propane Bi-fuel: AEO2022 Reference case</t>
  </si>
  <si>
    <t>Propane Bi-fuel</t>
  </si>
  <si>
    <t>48-AEO2022.45.ref2022-d011222a</t>
  </si>
  <si>
    <t>Light-Duty Vehicle Sales: Alternative-Fuel Light Trucks: Propane ICE: AEO2022 Reference case</t>
  </si>
  <si>
    <t>Propane ICE</t>
  </si>
  <si>
    <t>48-AEO2022.44.ref2022-d011222a</t>
  </si>
  <si>
    <t>Light-Duty Vehicle Sales: Alternative-Fuel Light Trucks: Natural Gas Bi-fuel: AEO2022 Reference case</t>
  </si>
  <si>
    <t>Natural Gas Bi-fuel</t>
  </si>
  <si>
    <t>48-AEO2022.43.ref2022-d011222a</t>
  </si>
  <si>
    <t>Light-Duty Vehicle Sales: Alternative-Fuel Light Trucks: Natural Gas ICE: AEO2022 Reference case</t>
  </si>
  <si>
    <t>Natural Gas ICE</t>
  </si>
  <si>
    <t>48-AEO2022.42.ref2022-d011222a</t>
  </si>
  <si>
    <t>Light-Duty Vehicle Sales: Alternative-Fuel Light Trucks: Electric-Gasoline Hybrid: AEO2022 Reference case</t>
  </si>
  <si>
    <t>Electric-Gasoline Hybrid</t>
  </si>
  <si>
    <t>48-AEO2022.41.ref2022-d011222a</t>
  </si>
  <si>
    <t>Light-Duty Vehicle Sales: Alternative-Fuel Light Trucks: Electric-Diesel Hybrid: AEO2022 Reference case</t>
  </si>
  <si>
    <t>Electric-Diesel Hybrid</t>
  </si>
  <si>
    <t>48-AEO2022.40.ref2022-d011222a</t>
  </si>
  <si>
    <t>Light-Duty Vehicle Sales: Alternative-Fuel Light Trucks: Plug-in 50 Gasoline Hybrid: AEO2022 Reference case</t>
  </si>
  <si>
    <t>Plug-in 50 Gasoline Hybrid</t>
  </si>
  <si>
    <t>48-AEO2022.39.ref2022-d011222a</t>
  </si>
  <si>
    <t>Light-Duty Vehicle Sales: Alternative-Fuel Light Trucks: Plug-in 20 Gasoline Hybrid: AEO2022 Reference case</t>
  </si>
  <si>
    <t>Plug-in 20 Gasoline Hybrid</t>
  </si>
  <si>
    <t>48-AEO2022.38.ref2022-d011222a</t>
  </si>
  <si>
    <t>Light-Duty Vehicle Sales: Alternative-Fuel Light Trucks: 300 Mile Electric Vehicle: AEO2022 Reference case</t>
  </si>
  <si>
    <t>48-AEO2022.37.ref2022-d011222a</t>
  </si>
  <si>
    <t>Light-Duty Vehicle Sales: Alternative-Fuel Light Trucks: 200 Mile Electric Vehicle: AEO2022 Reference case</t>
  </si>
  <si>
    <t>48-AEO2022.36.ref2022-d011222a</t>
  </si>
  <si>
    <t>Light-Duty Vehicle Sales: Alternative-Fuel Light Trucks: 100 Mile Electric Vehicle: AEO2022 Reference case</t>
  </si>
  <si>
    <t>48-AEO2022.35.ref2022-d011222a</t>
  </si>
  <si>
    <t>Light-Duty Vehicle Sales: Alternative-Fuel Light Trucks: Ethanol-Flex Fuel ICE: AEO2022 Reference case</t>
  </si>
  <si>
    <t>Ethanol-Flex Fuel ICE</t>
  </si>
  <si>
    <t>48-AEO2022.34.</t>
  </si>
  <si>
    <t>Alternative-Fuel Light Trucks</t>
  </si>
  <si>
    <t>48-AEO2022.32.ref2022-d011222a</t>
  </si>
  <si>
    <t>Light-Duty Vehicle Sales: Conventional Light Trucks: Total: AEO2022 Reference case</t>
  </si>
  <si>
    <t>Total Conventional Light Trucks</t>
  </si>
  <si>
    <t>48-AEO2022.31.ref2022-d011222a</t>
  </si>
  <si>
    <t>Light-Duty Vehicle Sales: Conventional Light Trucks: TDI Diesel: AEO2022 Reference case</t>
  </si>
  <si>
    <t>TDI Diesel ICE</t>
  </si>
  <si>
    <t>48-AEO2022.30.ref2022-d011222a</t>
  </si>
  <si>
    <t>Light-Duty Vehicle Sales: Conventional Light Trucks: Gasoline: AEO2022 Reference case</t>
  </si>
  <si>
    <t>Gasoline ICE Vehicles</t>
  </si>
  <si>
    <t>48-AEO2022.29.</t>
  </si>
  <si>
    <t>Conventional Light Trucks</t>
  </si>
  <si>
    <t>48-AEO2022.28.</t>
  </si>
  <si>
    <t>New Light Truck Sales</t>
  </si>
  <si>
    <t>48-AEO2022.26.ref2022-d011222a</t>
  </si>
  <si>
    <t>Light-Duty Vehicle Sales: Total New Car: AEO2022 Reference case</t>
  </si>
  <si>
    <t>48-AEO2022.25.ref2022-d011222a</t>
  </si>
  <si>
    <t>Light-Duty Vehicle Sales: Percent Alternative Car: AEO2022 Reference case</t>
  </si>
  <si>
    <t>48-AEO2022.23.ref2022-d011222a</t>
  </si>
  <si>
    <t>Light-Duty Vehicle Sales: Alternative-Fuel Cars: Total: AEO2022 Reference case</t>
  </si>
  <si>
    <t>Total Alternative Cars</t>
  </si>
  <si>
    <t>48-AEO2022.22.ref2022-d011222a</t>
  </si>
  <si>
    <t>Light-Duty Vehicle Sales: Alternative-Fuel cars: Fuel Cell Hydrogen: AEO2022 Reference case</t>
  </si>
  <si>
    <t>48-AEO2022.21.ref2022-d011222a</t>
  </si>
  <si>
    <t>Light-Duty Vehicle Sales: Alternative-Fuel Cars: Fuel Cell Methanol: AEO2022 Reference case</t>
  </si>
  <si>
    <t>48-AEO2022.20.ref2022-d011222a</t>
  </si>
  <si>
    <t>Light-Duty Vehicle Sales: Alternative-Fuel Cars: Propane: AEO2022 Reference case</t>
  </si>
  <si>
    <t>48-AEO2022.19.ref2022-d011222a</t>
  </si>
  <si>
    <t>48-AEO2022.18.ref2022-d011222a</t>
  </si>
  <si>
    <t>Light-Duty Vehicle Sales: Alternative-Fuel Cars: Natural Gas Bi-fuel: AEO2022 Reference case</t>
  </si>
  <si>
    <t>48-AEO2022.17.ref2022-d011222a</t>
  </si>
  <si>
    <t>Light-Duty Vehicle Sales: Alternative-Fuel Cars: Natural Gas ICE: AEO2022 Reference case</t>
  </si>
  <si>
    <t>48-AEO2022.16.ref2022-d011222a</t>
  </si>
  <si>
    <t>Light-Duty Vehicle Sales: Alternative-Fuel Cars: Electric-Gasoline Hybrid: AEO2022 Reference case</t>
  </si>
  <si>
    <t>48-AEO2022.15.ref2022-d011222a</t>
  </si>
  <si>
    <t>Light-Duty Vehicle Sales: Alternative-Fuel Cars: Electric-Diesel Hybrid: AEO2022 Reference case</t>
  </si>
  <si>
    <t>48-AEO2022.14.ref2022-d011222a</t>
  </si>
  <si>
    <t>Light-Duty Vehicle Sales: Alternative-Fuel Cars: Plug-in 50 Gasoline Hybrid: AEO2022 Reference case</t>
  </si>
  <si>
    <t>48-AEO2022.13.ref2022-d011222a</t>
  </si>
  <si>
    <t>Light-Duty Vehicle Sales: Alternative-Fuel Cars: Plug-in 20 Gasoline Hybrid: AEO2022 Reference case</t>
  </si>
  <si>
    <t>48-AEO2022.12.ref2022-d011222a</t>
  </si>
  <si>
    <t>Light-Duty Vehicle Sales: Alternative-Fuel Cars: 300 Mile Electric Vehicle: AEO2022 Reference case</t>
  </si>
  <si>
    <t>48-AEO2022.11.ref2022-d011222a</t>
  </si>
  <si>
    <t>Light-Duty Vehicle Sales: Alternative-Fuel Cars: 200 Mile Electric Vehicle: AEO2022 Reference case</t>
  </si>
  <si>
    <t>48-AEO2022.10.ref2022-d011222a</t>
  </si>
  <si>
    <t>Light-Duty Vehicle Sales: Alternative-Fuel Cars: 100 Mile Electric Vehicle: AEO2022 Reference case</t>
  </si>
  <si>
    <t>48-AEO2022.9.ref2022-d011222a</t>
  </si>
  <si>
    <t>Light-Duty Vehicle Sales: Alternative-Fuel Cars: Ethanol-Flex Fuel ICE: AEO2022 Reference case</t>
  </si>
  <si>
    <t>48-AEO2022.8.</t>
  </si>
  <si>
    <t>Alternative-Fuel Cars</t>
  </si>
  <si>
    <t>48-AEO2022.6.ref2022-d011222a</t>
  </si>
  <si>
    <t>Light-Duty Vehicle Sales: Conventional Cars: Total: AEO2022 Reference case</t>
  </si>
  <si>
    <t>Total Conventional Cars</t>
  </si>
  <si>
    <t>48-AEO2022.5.ref2022-d011222a</t>
  </si>
  <si>
    <t>Light-Duty Vehicle Sales: Conventional Cars: TDI Diesel: AEO2022 Reference case</t>
  </si>
  <si>
    <t>48-AEO2022.4.ref2022-d011222a</t>
  </si>
  <si>
    <t>Light-Duty Vehicle Sales: Conventional Cars: Gasoline: AEO2022 Reference case</t>
  </si>
  <si>
    <t>48-AEO2022.3.</t>
  </si>
  <si>
    <t>Conventional Cars</t>
  </si>
  <si>
    <t>48-AEO2022.2.</t>
  </si>
  <si>
    <t>New Car Sales</t>
  </si>
  <si>
    <t>Thu Apr 21 2022 19:37:41 GMT-0700 (Pacific Daylight Time)</t>
  </si>
  <si>
    <t>https://www.eia.gov/outlooks/aeo/data/browser/#/?id=48-AEO2022&amp;region=1-9&amp;cases=ref2022&amp;start=2020&amp;end=2050&amp;f=A&amp;linechart=~ref2022-d011222a.10-48-AEO2022.1-9~ref2022-d011222a.11-48-AEO2022.1-9~ref2022-d011222a.12-48-AEO2022.1-9~ref2022-d011222a.13-48-AEO2022.1-9~ref2022-d011222a.14-48-AEO2022.1-9&amp;map=ref2022-d011222a.5-48-AEO2022.1-9&amp;ctype=linechart&amp;sourcekey=0</t>
  </si>
  <si>
    <t>Table 38.  Light-Duty Vehicle Sales by Technology Type</t>
  </si>
  <si>
    <t>Share of 300 mile BEVs</t>
  </si>
  <si>
    <t>Share of 200 mile BEVs</t>
  </si>
  <si>
    <t>Avg</t>
  </si>
  <si>
    <t>300 mile</t>
  </si>
  <si>
    <t>share of cars</t>
  </si>
  <si>
    <t>share of trucks</t>
  </si>
  <si>
    <t>LDV weighted average</t>
  </si>
  <si>
    <t>Additional models</t>
  </si>
  <si>
    <t>Hyundai Kona E</t>
  </si>
  <si>
    <t>Kia EV6</t>
  </si>
  <si>
    <t>Kia Niro E</t>
  </si>
  <si>
    <t>Mustang Mach E</t>
  </si>
  <si>
    <t>Car PHEVs</t>
  </si>
  <si>
    <t>Truck PHEVs</t>
  </si>
  <si>
    <t>PHEV average across cars and trucks</t>
  </si>
  <si>
    <t>LDV fleet average BEV battery capacity</t>
  </si>
  <si>
    <t>Intermediate calculations</t>
  </si>
  <si>
    <t>Excluded.</t>
  </si>
  <si>
    <t>Most are likely to accrue outside of the study area (i.e., outside California's borders)</t>
  </si>
  <si>
    <t>Car - Light truck breakdown</t>
  </si>
  <si>
    <t>weighted average battery</t>
  </si>
  <si>
    <t>Shares in light truck</t>
  </si>
  <si>
    <t>Two adjustment factors to enable calculation of pickup price using bottom up approach</t>
  </si>
  <si>
    <t>Source for data below: EPA</t>
  </si>
  <si>
    <t>Car and light truck profit margins</t>
  </si>
  <si>
    <t>Light Trucks/SUV</t>
  </si>
  <si>
    <t>Adjustment factors to impute BEV pickup powertrain cost</t>
  </si>
  <si>
    <t>Use this factor to scale up costs not related to batteries</t>
  </si>
  <si>
    <t>Ratio of pickup over SUV weight</t>
  </si>
  <si>
    <t>Gas vehicle component</t>
  </si>
  <si>
    <t>Other electric powertrain</t>
  </si>
  <si>
    <t>2018 to 2021</t>
  </si>
  <si>
    <t>Currency Year Adjustment</t>
  </si>
  <si>
    <t>Historical Consumer Price Index for All Urban Consumers (CPI-U): U.S. city average, all items, index</t>
  </si>
  <si>
    <t>averages — Continued</t>
  </si>
  <si>
    <t>[1982-84=100, unless otherwise noted]</t>
  </si>
  <si>
    <t>Semiannual averages</t>
  </si>
  <si>
    <t>1st half</t>
  </si>
  <si>
    <t>2nd half</t>
  </si>
  <si>
    <t>1982.............................................................................     .</t>
  </si>
  <si>
    <t>–</t>
  </si>
  <si>
    <t>1983.............................................................................     .</t>
  </si>
  <si>
    <t>1984.............................................................................     .</t>
  </si>
  <si>
    <t>1985.............................................................................     .</t>
  </si>
  <si>
    <t>1986.............................................................................     .</t>
  </si>
  <si>
    <t>1987.............................................................................     .</t>
  </si>
  <si>
    <t>1988.............................................................................     .</t>
  </si>
  <si>
    <t>1989.............................................................................     .</t>
  </si>
  <si>
    <t>1990.............................................................................     .</t>
  </si>
  <si>
    <t>1991.............................................................................     .</t>
  </si>
  <si>
    <t>1992.............................................................................     .</t>
  </si>
  <si>
    <t>1993.............................................................................     .</t>
  </si>
  <si>
    <t>1994.............................................................................     .</t>
  </si>
  <si>
    <t>1995.............................................................................     .</t>
  </si>
  <si>
    <t>1996.............................................................................     .</t>
  </si>
  <si>
    <t>1997.............................................................................      .</t>
  </si>
  <si>
    <t>1998.............................................................................     .</t>
  </si>
  <si>
    <t>1999.............................................................................     .</t>
  </si>
  <si>
    <t>2000.............................................................................     .</t>
  </si>
  <si>
    <t>2001.............................................................................     .</t>
  </si>
  <si>
    <t>2002.............................................................................     .</t>
  </si>
  <si>
    <t>2003.............................................................................     .</t>
  </si>
  <si>
    <t>2004.............................................................................     .</t>
  </si>
  <si>
    <t>2005.............................................................................     .</t>
  </si>
  <si>
    <t>2006.............................................................................     .</t>
  </si>
  <si>
    <t>2007.............................................................................     .</t>
  </si>
  <si>
    <t>2008.............................................................................     .</t>
  </si>
  <si>
    <t>2009.............................................................................     .</t>
  </si>
  <si>
    <t>2010.............................................................................     .</t>
  </si>
  <si>
    <t>2011.............................................................................     .</t>
  </si>
  <si>
    <t>2012.............................................................................     .</t>
  </si>
  <si>
    <t>2013.............................................................................     .</t>
  </si>
  <si>
    <t>2014.............................................................................     .</t>
  </si>
  <si>
    <t>2015.............................................................................     .</t>
  </si>
  <si>
    <t>2016.............................................................................     .</t>
  </si>
  <si>
    <t>2017.............................................................................     .</t>
  </si>
  <si>
    <t>2018.............................................................................     .</t>
  </si>
  <si>
    <t>2019.............................................................................     .</t>
  </si>
  <si>
    <t>https://theicct.org/wp-content/uploads/2022/02/purchase-cost-ze-trucks-feb22-1.pdf</t>
  </si>
  <si>
    <t>Assume same absolute markup as 36% on Diesel</t>
  </si>
  <si>
    <t>HDV purchase cost before mark up</t>
  </si>
  <si>
    <t>Markup</t>
  </si>
  <si>
    <t>Battery cost (600 kWh)</t>
  </si>
  <si>
    <t>Total cost with markup (600 KWh)</t>
  </si>
  <si>
    <t>Total cost with markup (300 KWh)</t>
  </si>
  <si>
    <t>Day cab</t>
  </si>
  <si>
    <t>Sleeper / long haul</t>
  </si>
  <si>
    <t>Battery cost (300 kWh)</t>
  </si>
  <si>
    <t>electric brake systems</t>
  </si>
  <si>
    <t>% of total</t>
  </si>
  <si>
    <t>Motor+</t>
  </si>
  <si>
    <t>% reduction in 2030</t>
  </si>
  <si>
    <t>Figure 5</t>
  </si>
  <si>
    <t>Figure 3</t>
  </si>
  <si>
    <t>Total reduction</t>
  </si>
  <si>
    <t>In initial/2020 cost</t>
  </si>
  <si>
    <t>2020 calcs</t>
  </si>
  <si>
    <t>Vehicle (balance after battery)</t>
  </si>
  <si>
    <t>2030 calcs</t>
  </si>
  <si>
    <t>Totals</t>
  </si>
  <si>
    <t>Start year totals after accounting for non-battery cost reductions</t>
  </si>
  <si>
    <t>Diesel day cab % markup</t>
  </si>
  <si>
    <t>Adjusted vehicle (for innovation and lower non-battery costs)</t>
  </si>
  <si>
    <t>https://theicct.org/cost-electric-semi-feb22/</t>
  </si>
  <si>
    <t>ratio</t>
  </si>
  <si>
    <t>years forward</t>
  </si>
  <si>
    <t>Trend projection</t>
  </si>
  <si>
    <t>Scatterplot</t>
  </si>
  <si>
    <t>coeff 1</t>
  </si>
  <si>
    <t>coeff 2</t>
  </si>
  <si>
    <t>first product</t>
  </si>
  <si>
    <t>Delta</t>
  </si>
  <si>
    <t>Imputed</t>
  </si>
  <si>
    <t>Start year cost</t>
  </si>
  <si>
    <t>Electric vehicles</t>
  </si>
  <si>
    <t>Time (Time)</t>
  </si>
  <si>
    <t>This Year Battery Cost as Fraction of First Year Battery Cost : MostRecentRun</t>
  </si>
  <si>
    <t>Californie EPS output (25 April 2022)</t>
  </si>
  <si>
    <t xml:space="preserve">Current BEV prices for vans range from $47,000–$68,000 across 100–400-mile ranges, and $54,000–$80,000 for pickup trucks. </t>
  </si>
  <si>
    <t>In comparison, the current cost of a gasoline and diesel van, including tax, is $45,000 and $56,000, respectively, and the cost of a gasoline and diesel pickup truck is $49,000–$60,000, respectively</t>
  </si>
  <si>
    <t>BEV van</t>
  </si>
  <si>
    <t>BEV pickup</t>
  </si>
  <si>
    <t xml:space="preserve">Diesel </t>
  </si>
  <si>
    <t>Mean</t>
  </si>
  <si>
    <t>Relative to diesel</t>
  </si>
  <si>
    <t>battery</t>
  </si>
  <si>
    <t>battery size and cost</t>
  </si>
  <si>
    <t>battery size</t>
  </si>
  <si>
    <t>battery unit cost (per kWh)</t>
  </si>
  <si>
    <t>Battery cost per vehicle</t>
  </si>
  <si>
    <t>low - 100 mile</t>
  </si>
  <si>
    <t>high - 400 mile</t>
  </si>
  <si>
    <t>Mean value</t>
  </si>
  <si>
    <t>BEV van-pickup</t>
  </si>
  <si>
    <t>battery share of total cost</t>
  </si>
  <si>
    <t>Ratio BEV/Diesel</t>
  </si>
  <si>
    <t>Generic petroleum</t>
  </si>
  <si>
    <t>Share</t>
  </si>
  <si>
    <t>Class 2b-3 generic</t>
  </si>
  <si>
    <t>Class 2b-3 gasoline</t>
  </si>
  <si>
    <t xml:space="preserve">Class 2b-3 diesel </t>
  </si>
  <si>
    <t>https://theicct.org/publication/cost-ev-vans-pickups-us-2040-jan22/</t>
  </si>
  <si>
    <t>COST OF ELECTRIC COMMERCIAL VANS AND PICKUP TRUCKS IN THE UNITED STATES THROUGH 2040</t>
  </si>
  <si>
    <t>weighted average diesel</t>
  </si>
  <si>
    <t>weighted average gasoline</t>
  </si>
  <si>
    <t>weighted average EV price</t>
  </si>
  <si>
    <t>Imputed battery cost</t>
  </si>
  <si>
    <t>Saving over start year</t>
  </si>
  <si>
    <t>Ratio of BEV/FCEV</t>
  </si>
  <si>
    <t>Day cab - HDV frt</t>
  </si>
  <si>
    <t>Sleeper cab - motorbikes frt</t>
  </si>
  <si>
    <t>Sleeper cab - battery cost</t>
  </si>
  <si>
    <t>Day cab - battery cost</t>
  </si>
  <si>
    <t>Sleeper cab - future battery savings</t>
  </si>
  <si>
    <t>Day cab - - future battery savings</t>
  </si>
  <si>
    <t>Ricardo, page 10</t>
  </si>
  <si>
    <t>ICCT, Figure 5</t>
  </si>
  <si>
    <t>Day cab diesel</t>
  </si>
  <si>
    <t>Sleeper diesel</t>
  </si>
  <si>
    <t>2021$s</t>
  </si>
  <si>
    <t>2012$s</t>
  </si>
  <si>
    <t>2021 to 2012</t>
  </si>
  <si>
    <t>CPI adjustment</t>
  </si>
  <si>
    <t>In 2012 $s</t>
  </si>
  <si>
    <t>https://afdc.energy.gov/files/u/publication/financial_analysis_be_transit_buses.pdf</t>
  </si>
  <si>
    <t xml:space="preserve">Cost of battery (current): The cost of batteries was based on the 2015 U.S. Department of Energy estimate of $268/kWh (Howell et al. 2016). </t>
  </si>
  <si>
    <t>Battery cost</t>
  </si>
  <si>
    <t>Diesel bus</t>
  </si>
  <si>
    <t>BEV price estimate</t>
  </si>
  <si>
    <t>Plus 36% profit margin</t>
  </si>
  <si>
    <t>Battery share</t>
  </si>
  <si>
    <t>2020 cost in 2018 $s</t>
  </si>
  <si>
    <t>2020 cost in 2012 $s</t>
  </si>
  <si>
    <t>Vehicle costs and specs from NREL document in References</t>
  </si>
  <si>
    <t>Day cab - battery share</t>
  </si>
  <si>
    <t>Sleeper cab - battery share</t>
  </si>
  <si>
    <t>BESP calculation</t>
  </si>
  <si>
    <t>Vehicle</t>
  </si>
  <si>
    <t>Battery share time series for BESP</t>
  </si>
  <si>
    <t>HDV psg Battery share time series for BESP</t>
  </si>
  <si>
    <t>LDV frt - Battery share of cost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</si>
</sst>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44" formatCode="_(&quot;$&quot;* #,##0.00_);_(&quot;$&quot;* \(#,##0.00\);_(&quot;$&quot;* &quot;-&quot;??_);_(@_)"/>
    <numFmt numFmtId="43" formatCode="_(* #,##0.00_);_(* \(#,##0.00\);_(* &quot;-&quot;??_);_(@_)"/>
    <numFmt numFmtId="164" formatCode="0.0%"/>
    <numFmt numFmtId="165" formatCode="#,##0.0"/>
    <numFmt numFmtId="166" formatCode="&quot;$&quot;#,##0"/>
    <numFmt numFmtId="167" formatCode="#,##0.000"/>
    <numFmt numFmtId="168" formatCode="0.000"/>
    <numFmt numFmtId="169" formatCode="&quot;$&quot;#,##0.00"/>
    <numFmt numFmtId="170" formatCode="_(&quot;$&quot;* #,##0.0_);_(&quot;$&quot;* \(#,##0.0\);_(&quot;$&quot;* &quot;-&quot;??_);_(@_)"/>
    <numFmt numFmtId="171" formatCode="_(&quot;$&quot;* #,##0_);_(&quot;$&quot;* \(#,##0\);_(&quot;$&quot;* &quot;-&quot;??_);_(@_)"/>
    <numFmt numFmtId="172" formatCode="0.0000"/>
    <numFmt numFmtId="173" formatCode="_(* #,##0_);_(* \(#,##0\);_(* &quot;-&quot;??_);_(@_)"/>
    <numFmt numFmtId="174" formatCode="0.0"/>
  </numFmts>
  <fonts count="26" x14ac:knownFonts="1">
    <font>
      <sz val="11"/>
      <color theme="1"/>
      <name val="Calibri"/>
      <family val="2"/>
      <scheme val="minor"/>
    </font>
    <font>
      <b/>
      <sz val="11"/>
      <color theme="1"/>
      <name val="Calibri"/>
      <family val="2"/>
      <scheme val="minor"/>
    </font>
    <font>
      <sz val="9"/>
      <color indexed="8"/>
      <name val="Calibri"/>
      <family val="2"/>
    </font>
    <font>
      <sz val="9"/>
      <name val="Calibri"/>
      <family val="2"/>
    </font>
    <font>
      <b/>
      <sz val="9"/>
      <color indexed="8"/>
      <name val="Calibri"/>
      <family val="2"/>
    </font>
    <font>
      <sz val="8"/>
      <name val="Arial"/>
      <family val="2"/>
    </font>
    <font>
      <b/>
      <sz val="12"/>
      <color indexed="30"/>
      <name val="Calibri"/>
      <family val="2"/>
    </font>
    <font>
      <sz val="10"/>
      <color indexed="8"/>
      <name val="Arial"/>
      <family val="2"/>
    </font>
    <font>
      <i/>
      <sz val="11"/>
      <color theme="1"/>
      <name val="Calibri"/>
      <family val="2"/>
      <scheme val="minor"/>
    </font>
    <font>
      <sz val="11"/>
      <color theme="1"/>
      <name val="Calibri"/>
      <family val="2"/>
      <scheme val="minor"/>
    </font>
    <font>
      <u/>
      <sz val="11"/>
      <color theme="10"/>
      <name val="Calibri"/>
      <family val="2"/>
      <scheme val="minor"/>
    </font>
    <font>
      <sz val="8"/>
      <name val="Calibri"/>
      <family val="2"/>
      <scheme val="minor"/>
    </font>
    <font>
      <b/>
      <u/>
      <sz val="12"/>
      <color theme="1"/>
      <name val="Calibri"/>
      <family val="2"/>
      <scheme val="minor"/>
    </font>
    <font>
      <sz val="11"/>
      <color indexed="8"/>
      <name val="Calibri"/>
      <family val="2"/>
      <scheme val="minor"/>
    </font>
    <font>
      <sz val="11"/>
      <color indexed="8"/>
      <name val="Calibri"/>
      <family val="2"/>
    </font>
    <font>
      <sz val="10"/>
      <color theme="1"/>
      <name val="Arial"/>
      <family val="2"/>
    </font>
    <font>
      <i/>
      <sz val="10"/>
      <color theme="1"/>
      <name val="Times New Roman"/>
      <family val="1"/>
    </font>
    <font>
      <b/>
      <sz val="11"/>
      <color theme="1"/>
      <name val="Times New Roman"/>
      <family val="1"/>
    </font>
    <font>
      <b/>
      <sz val="11"/>
      <color rgb="FFFF0000"/>
      <name val="Times New Roman"/>
      <family val="1"/>
    </font>
    <font>
      <sz val="10"/>
      <color theme="1"/>
      <name val="Times New Roman"/>
      <family val="1"/>
    </font>
    <font>
      <vertAlign val="superscript"/>
      <sz val="10"/>
      <color theme="1"/>
      <name val="Times New Roman"/>
      <family val="1"/>
    </font>
    <font>
      <b/>
      <sz val="10"/>
      <color indexed="8"/>
      <name val="Times New Roman"/>
      <family val="1"/>
    </font>
    <font>
      <sz val="10"/>
      <color indexed="8"/>
      <name val="Times New Roman"/>
      <family val="1"/>
    </font>
    <font>
      <vertAlign val="superscript"/>
      <sz val="10"/>
      <color indexed="8"/>
      <name val="Times New Roman"/>
      <family val="1"/>
    </font>
    <font>
      <b/>
      <sz val="8"/>
      <color theme="1"/>
      <name val="Montserrat"/>
    </font>
    <font>
      <b/>
      <u/>
      <sz val="11"/>
      <color theme="1"/>
      <name val="Calibri"/>
      <family val="2"/>
      <scheme val="minor"/>
    </font>
  </fonts>
  <fills count="14">
    <fill>
      <patternFill patternType="none"/>
    </fill>
    <fill>
      <patternFill patternType="gray125"/>
    </fill>
    <fill>
      <patternFill patternType="solid">
        <fgColor theme="0" tint="-0.249977111117893"/>
        <bgColor indexed="64"/>
      </patternFill>
    </fill>
    <fill>
      <patternFill patternType="solid">
        <fgColor rgb="FF92D050"/>
        <bgColor indexed="64"/>
      </patternFill>
    </fill>
    <fill>
      <patternFill patternType="solid">
        <fgColor theme="8" tint="0.79998168889431442"/>
        <bgColor indexed="64"/>
      </patternFill>
    </fill>
    <fill>
      <patternFill patternType="solid">
        <fgColor theme="0" tint="-0.14999847407452621"/>
        <bgColor indexed="64"/>
      </patternFill>
    </fill>
    <fill>
      <patternFill patternType="solid">
        <fgColor theme="6" tint="0.59999389629810485"/>
        <bgColor indexed="64"/>
      </patternFill>
    </fill>
    <fill>
      <patternFill patternType="solid">
        <fgColor indexed="11"/>
      </patternFill>
    </fill>
    <fill>
      <patternFill patternType="solid">
        <fgColor rgb="FFFFC000"/>
        <bgColor indexed="64"/>
      </patternFill>
    </fill>
    <fill>
      <patternFill patternType="solid">
        <fgColor theme="6" tint="0.79998168889431442"/>
        <bgColor indexed="64"/>
      </patternFill>
    </fill>
    <fill>
      <patternFill patternType="solid">
        <fgColor rgb="FFFFEEB7"/>
        <bgColor indexed="64"/>
      </patternFill>
    </fill>
    <fill>
      <patternFill patternType="solid">
        <fgColor theme="4" tint="0.59999389629810485"/>
        <bgColor indexed="64"/>
      </patternFill>
    </fill>
    <fill>
      <patternFill patternType="solid">
        <fgColor theme="9"/>
        <bgColor indexed="64"/>
      </patternFill>
    </fill>
    <fill>
      <patternFill patternType="solid">
        <fgColor theme="6" tint="0.39997558519241921"/>
        <bgColor indexed="64"/>
      </patternFill>
    </fill>
  </fills>
  <borders count="21">
    <border>
      <left/>
      <right/>
      <top/>
      <bottom/>
      <diagonal/>
    </border>
    <border>
      <left/>
      <right/>
      <top style="medium">
        <color rgb="FF0096D7"/>
      </top>
      <bottom/>
      <diagonal/>
    </border>
    <border>
      <left/>
      <right/>
      <top/>
      <bottom style="thin">
        <color rgb="FFBFBFBF"/>
      </bottom>
      <diagonal/>
    </border>
    <border>
      <left/>
      <right/>
      <top/>
      <bottom style="dashed">
        <color rgb="FFBFBFBF"/>
      </bottom>
      <diagonal/>
    </border>
    <border>
      <left/>
      <right/>
      <top/>
      <bottom style="thick">
        <color rgb="FF0096D7"/>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bottom/>
      <diagonal/>
    </border>
    <border>
      <left style="thin">
        <color indexed="64"/>
      </left>
      <right/>
      <top/>
      <bottom/>
      <diagonal/>
    </border>
    <border>
      <left style="thin">
        <color indexed="64"/>
      </left>
      <right style="thin">
        <color indexed="64"/>
      </right>
      <top/>
      <bottom style="thin">
        <color indexed="64"/>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6">
    <xf numFmtId="0" fontId="0" fillId="0" borderId="0"/>
    <xf numFmtId="0" fontId="2" fillId="0" borderId="0"/>
    <xf numFmtId="0" fontId="2" fillId="0" borderId="1" applyNumberFormat="0" applyProtection="0">
      <alignment wrapText="1"/>
    </xf>
    <xf numFmtId="0" fontId="4" fillId="0" borderId="2" applyNumberFormat="0" applyProtection="0">
      <alignment wrapText="1"/>
    </xf>
    <xf numFmtId="0" fontId="2" fillId="0" borderId="3" applyNumberFormat="0" applyFont="0" applyProtection="0">
      <alignment wrapText="1"/>
    </xf>
    <xf numFmtId="0" fontId="4" fillId="0" borderId="4" applyNumberFormat="0" applyProtection="0">
      <alignment wrapText="1"/>
    </xf>
    <xf numFmtId="0" fontId="2" fillId="0" borderId="0" applyNumberFormat="0" applyFill="0" applyBorder="0" applyAlignment="0" applyProtection="0"/>
    <xf numFmtId="0" fontId="6" fillId="0" borderId="0" applyNumberFormat="0" applyProtection="0">
      <alignment horizontal="left"/>
    </xf>
    <xf numFmtId="44" fontId="9" fillId="0" borderId="0" applyFont="0" applyFill="0" applyBorder="0" applyAlignment="0" applyProtection="0"/>
    <xf numFmtId="0" fontId="10" fillId="0" borderId="0" applyNumberFormat="0" applyFill="0" applyBorder="0" applyAlignment="0" applyProtection="0"/>
    <xf numFmtId="9" fontId="9" fillId="0" borderId="0" applyFont="0" applyFill="0" applyBorder="0" applyAlignment="0" applyProtection="0"/>
    <xf numFmtId="43" fontId="9" fillId="0" borderId="0" applyFont="0" applyFill="0" applyBorder="0" applyAlignment="0" applyProtection="0"/>
    <xf numFmtId="0" fontId="13" fillId="0" borderId="0"/>
    <xf numFmtId="0" fontId="14" fillId="7" borderId="0" applyNumberFormat="0" applyBorder="0" applyAlignment="0" applyProtection="0"/>
    <xf numFmtId="0" fontId="15" fillId="0" borderId="0"/>
    <xf numFmtId="43" fontId="15" fillId="0" borderId="0" applyFont="0" applyFill="0" applyBorder="0" applyAlignment="0" applyProtection="0"/>
  </cellStyleXfs>
  <cellXfs count="200">
    <xf numFmtId="0" fontId="0" fillId="0" borderId="0" xfId="0"/>
    <xf numFmtId="0" fontId="1" fillId="0" borderId="0" xfId="0" applyFont="1"/>
    <xf numFmtId="0" fontId="1" fillId="2" borderId="0" xfId="0" applyFont="1" applyFill="1"/>
    <xf numFmtId="0" fontId="1" fillId="2" borderId="0" xfId="0" applyFont="1" applyFill="1" applyAlignment="1">
      <alignment horizontal="right" wrapText="1"/>
    </xf>
    <xf numFmtId="1" fontId="0" fillId="0" borderId="0" xfId="0" applyNumberFormat="1"/>
    <xf numFmtId="0" fontId="0" fillId="0" borderId="0" xfId="0" applyFill="1"/>
    <xf numFmtId="0" fontId="8" fillId="0" borderId="0" xfId="0" applyFont="1"/>
    <xf numFmtId="0" fontId="0" fillId="0" borderId="0" xfId="0" applyFill="1" applyAlignment="1">
      <alignment horizontal="left"/>
    </xf>
    <xf numFmtId="166" fontId="0" fillId="0" borderId="0" xfId="0" applyNumberFormat="1"/>
    <xf numFmtId="166" fontId="0" fillId="0" borderId="0" xfId="8" applyNumberFormat="1" applyFont="1"/>
    <xf numFmtId="0" fontId="1" fillId="2" borderId="0" xfId="0" applyFont="1" applyFill="1" applyAlignment="1">
      <alignment horizontal="right"/>
    </xf>
    <xf numFmtId="1" fontId="0" fillId="3" borderId="0" xfId="0" applyNumberFormat="1" applyFill="1"/>
    <xf numFmtId="0" fontId="0" fillId="3" borderId="0" xfId="0" applyFill="1"/>
    <xf numFmtId="0" fontId="10" fillId="0" borderId="0" xfId="9"/>
    <xf numFmtId="0" fontId="0" fillId="0" borderId="0" xfId="0" applyAlignment="1">
      <alignment wrapText="1"/>
    </xf>
    <xf numFmtId="0" fontId="1" fillId="2" borderId="0" xfId="0" applyFont="1" applyFill="1" applyAlignment="1">
      <alignment wrapText="1"/>
    </xf>
    <xf numFmtId="0" fontId="0" fillId="0" borderId="0" xfId="0" applyAlignment="1">
      <alignment horizontal="left" wrapText="1"/>
    </xf>
    <xf numFmtId="0" fontId="0" fillId="0" borderId="0" xfId="0" applyFont="1"/>
    <xf numFmtId="0" fontId="0" fillId="2" borderId="0" xfId="0" applyFill="1"/>
    <xf numFmtId="0" fontId="5" fillId="0" borderId="0" xfId="0" applyFont="1"/>
    <xf numFmtId="0" fontId="3" fillId="0" borderId="0" xfId="0" applyFont="1"/>
    <xf numFmtId="168" fontId="0" fillId="0" borderId="0" xfId="0" applyNumberFormat="1"/>
    <xf numFmtId="165" fontId="0" fillId="0" borderId="0" xfId="0" applyNumberFormat="1"/>
    <xf numFmtId="0" fontId="0" fillId="0" borderId="0" xfId="0" applyAlignment="1">
      <alignment horizontal="left"/>
    </xf>
    <xf numFmtId="1" fontId="0" fillId="0" borderId="0" xfId="0" applyNumberFormat="1" applyFill="1"/>
    <xf numFmtId="0" fontId="2" fillId="0" borderId="0" xfId="1"/>
    <xf numFmtId="0" fontId="2" fillId="0" borderId="0" xfId="6"/>
    <xf numFmtId="0" fontId="4" fillId="0" borderId="4" xfId="5">
      <alignment wrapText="1"/>
    </xf>
    <xf numFmtId="0" fontId="7" fillId="0" borderId="0" xfId="1" applyFont="1"/>
    <xf numFmtId="0" fontId="5" fillId="0" borderId="0" xfId="1" applyFont="1"/>
    <xf numFmtId="0" fontId="6" fillId="0" borderId="0" xfId="7">
      <alignment horizontal="left"/>
    </xf>
    <xf numFmtId="0" fontId="2" fillId="0" borderId="0" xfId="1" applyAlignment="1">
      <alignment horizontal="left"/>
    </xf>
    <xf numFmtId="0" fontId="4" fillId="0" borderId="2" xfId="3">
      <alignment wrapText="1"/>
    </xf>
    <xf numFmtId="0" fontId="2" fillId="0" borderId="3" xfId="4" applyFont="1">
      <alignment wrapText="1"/>
    </xf>
    <xf numFmtId="4" fontId="2" fillId="0" borderId="3" xfId="4" applyNumberFormat="1" applyFont="1" applyAlignment="1">
      <alignment horizontal="right" wrapText="1"/>
    </xf>
    <xf numFmtId="164" fontId="2" fillId="0" borderId="3" xfId="4" applyNumberFormat="1" applyFont="1" applyAlignment="1">
      <alignment horizontal="right" wrapText="1"/>
    </xf>
    <xf numFmtId="165" fontId="0" fillId="0" borderId="3" xfId="4" applyNumberFormat="1" applyFont="1" applyAlignment="1">
      <alignment horizontal="right" wrapText="1"/>
    </xf>
    <xf numFmtId="164" fontId="0" fillId="0" borderId="3" xfId="4" applyNumberFormat="1" applyFont="1" applyAlignment="1">
      <alignment horizontal="right" wrapText="1"/>
    </xf>
    <xf numFmtId="4" fontId="4" fillId="0" borderId="2" xfId="3" applyNumberFormat="1" applyAlignment="1">
      <alignment horizontal="right" wrapText="1"/>
    </xf>
    <xf numFmtId="164" fontId="4" fillId="0" borderId="2" xfId="3" applyNumberFormat="1" applyAlignment="1">
      <alignment horizontal="right" wrapText="1"/>
    </xf>
    <xf numFmtId="165" fontId="4" fillId="0" borderId="2" xfId="3" applyNumberFormat="1" applyAlignment="1">
      <alignment horizontal="right" wrapText="1"/>
    </xf>
    <xf numFmtId="0" fontId="0" fillId="0" borderId="3" xfId="4" applyFont="1">
      <alignment wrapText="1"/>
    </xf>
    <xf numFmtId="0" fontId="3" fillId="0" borderId="0" xfId="1" applyFont="1"/>
    <xf numFmtId="165" fontId="2" fillId="0" borderId="3" xfId="4" applyNumberFormat="1" applyFont="1" applyAlignment="1">
      <alignment horizontal="right" wrapText="1"/>
    </xf>
    <xf numFmtId="167" fontId="2" fillId="0" borderId="3" xfId="4" applyNumberFormat="1" applyFont="1" applyAlignment="1">
      <alignment horizontal="right" wrapText="1"/>
    </xf>
    <xf numFmtId="167" fontId="0" fillId="0" borderId="3" xfId="4" applyNumberFormat="1" applyFont="1" applyAlignment="1">
      <alignment horizontal="right" wrapText="1"/>
    </xf>
    <xf numFmtId="3" fontId="2" fillId="0" borderId="3" xfId="4" applyNumberFormat="1" applyFont="1" applyAlignment="1">
      <alignment horizontal="right" wrapText="1"/>
    </xf>
    <xf numFmtId="3" fontId="0" fillId="0" borderId="3" xfId="4" applyNumberFormat="1" applyFont="1" applyAlignment="1">
      <alignment horizontal="right" wrapText="1"/>
    </xf>
    <xf numFmtId="0" fontId="2" fillId="0" borderId="1" xfId="2">
      <alignment wrapText="1"/>
    </xf>
    <xf numFmtId="0" fontId="0" fillId="0" borderId="0" xfId="0" applyAlignment="1"/>
    <xf numFmtId="164" fontId="0" fillId="0" borderId="0" xfId="10" applyNumberFormat="1" applyFont="1"/>
    <xf numFmtId="0" fontId="1" fillId="4" borderId="0" xfId="0" applyFont="1" applyFill="1" applyAlignment="1">
      <alignment horizontal="center"/>
    </xf>
    <xf numFmtId="0" fontId="1" fillId="4" borderId="0" xfId="0" applyFont="1" applyFill="1"/>
    <xf numFmtId="44" fontId="0" fillId="4" borderId="0" xfId="8" applyFont="1" applyFill="1"/>
    <xf numFmtId="0" fontId="0" fillId="4" borderId="0" xfId="0" applyFill="1" applyAlignment="1">
      <alignment horizontal="center"/>
    </xf>
    <xf numFmtId="9" fontId="0" fillId="4" borderId="0" xfId="10" applyFont="1" applyFill="1" applyAlignment="1">
      <alignment horizontal="center"/>
    </xf>
    <xf numFmtId="0" fontId="1" fillId="4" borderId="10" xfId="0" applyFont="1" applyFill="1" applyBorder="1" applyAlignment="1">
      <alignment horizontal="center"/>
    </xf>
    <xf numFmtId="0" fontId="0" fillId="4" borderId="10" xfId="0" applyFill="1" applyBorder="1" applyAlignment="1">
      <alignment horizontal="center"/>
    </xf>
    <xf numFmtId="0" fontId="1" fillId="4" borderId="6" xfId="0" applyFont="1" applyFill="1" applyBorder="1" applyAlignment="1">
      <alignment horizontal="center"/>
    </xf>
    <xf numFmtId="9" fontId="0" fillId="4" borderId="10" xfId="10" applyFont="1" applyFill="1" applyBorder="1" applyAlignment="1">
      <alignment horizontal="center"/>
    </xf>
    <xf numFmtId="0" fontId="1" fillId="4" borderId="0" xfId="0" applyFont="1" applyFill="1" applyBorder="1" applyAlignment="1">
      <alignment horizontal="center"/>
    </xf>
    <xf numFmtId="0" fontId="1" fillId="0" borderId="5" xfId="0" applyFont="1" applyBorder="1"/>
    <xf numFmtId="0" fontId="0" fillId="4" borderId="9" xfId="0" applyFill="1" applyBorder="1"/>
    <xf numFmtId="0" fontId="0" fillId="4" borderId="0" xfId="0" applyFill="1" applyBorder="1" applyAlignment="1">
      <alignment horizontal="center"/>
    </xf>
    <xf numFmtId="0" fontId="10" fillId="0" borderId="0" xfId="9" applyFill="1"/>
    <xf numFmtId="0" fontId="0" fillId="0" borderId="0" xfId="0" applyAlignment="1">
      <alignment vertical="top"/>
    </xf>
    <xf numFmtId="0" fontId="12" fillId="0" borderId="0" xfId="0" applyFont="1"/>
    <xf numFmtId="170" fontId="0" fillId="0" borderId="0" xfId="8" applyNumberFormat="1" applyFont="1"/>
    <xf numFmtId="44" fontId="0" fillId="0" borderId="0" xfId="0" applyNumberFormat="1"/>
    <xf numFmtId="171" fontId="0" fillId="0" borderId="0" xfId="0" applyNumberFormat="1"/>
    <xf numFmtId="171" fontId="0" fillId="0" borderId="0" xfId="8" applyNumberFormat="1" applyFont="1"/>
    <xf numFmtId="0" fontId="0" fillId="0" borderId="0" xfId="0" applyAlignment="1">
      <alignment horizontal="left" vertical="top"/>
    </xf>
    <xf numFmtId="0" fontId="1" fillId="5" borderId="0" xfId="0" applyFont="1" applyFill="1"/>
    <xf numFmtId="0" fontId="0" fillId="5" borderId="0" xfId="0" applyFill="1"/>
    <xf numFmtId="0" fontId="0" fillId="0" borderId="0" xfId="0"/>
    <xf numFmtId="9" fontId="0" fillId="0" borderId="0" xfId="10" applyFont="1"/>
    <xf numFmtId="15" fontId="0" fillId="0" borderId="0" xfId="0" applyNumberFormat="1"/>
    <xf numFmtId="44" fontId="0" fillId="0" borderId="0" xfId="8" applyFont="1"/>
    <xf numFmtId="169" fontId="0" fillId="0" borderId="0" xfId="0" applyNumberFormat="1"/>
    <xf numFmtId="2" fontId="0" fillId="0" borderId="0" xfId="0" applyNumberFormat="1"/>
    <xf numFmtId="0" fontId="0" fillId="6" borderId="0" xfId="0" applyFill="1"/>
    <xf numFmtId="0" fontId="0" fillId="0" borderId="0" xfId="0" applyAlignment="1">
      <alignment horizontal="center"/>
    </xf>
    <xf numFmtId="172" fontId="0" fillId="0" borderId="0" xfId="0" applyNumberFormat="1"/>
    <xf numFmtId="0" fontId="0" fillId="0" borderId="0" xfId="0" applyAlignment="1">
      <alignment horizontal="right"/>
    </xf>
    <xf numFmtId="164" fontId="0" fillId="0" borderId="0" xfId="10" applyNumberFormat="1" applyFont="1" applyFill="1" applyAlignment="1">
      <alignment wrapText="1"/>
    </xf>
    <xf numFmtId="171" fontId="0" fillId="0" borderId="0" xfId="8" applyNumberFormat="1" applyFont="1" applyFill="1"/>
    <xf numFmtId="2" fontId="0" fillId="0" borderId="0" xfId="0" applyNumberFormat="1" applyAlignment="1">
      <alignment horizontal="left" vertical="top"/>
    </xf>
    <xf numFmtId="0" fontId="15" fillId="0" borderId="0" xfId="14"/>
    <xf numFmtId="0" fontId="15" fillId="0" borderId="19" xfId="14" applyBorder="1"/>
    <xf numFmtId="0" fontId="19" fillId="0" borderId="12" xfId="14" applyFont="1" applyBorder="1" applyAlignment="1">
      <alignment horizontal="center" vertical="center"/>
    </xf>
    <xf numFmtId="0" fontId="19" fillId="0" borderId="0" xfId="14" applyFont="1" applyAlignment="1">
      <alignment horizontal="center" vertical="center"/>
    </xf>
    <xf numFmtId="3" fontId="19" fillId="0" borderId="0" xfId="15" applyNumberFormat="1" applyFont="1" applyAlignment="1">
      <alignment horizontal="center" vertical="center"/>
    </xf>
    <xf numFmtId="0" fontId="19" fillId="0" borderId="0" xfId="14" applyFont="1" applyAlignment="1">
      <alignment horizontal="center"/>
    </xf>
    <xf numFmtId="164" fontId="19" fillId="0" borderId="0" xfId="14" applyNumberFormat="1" applyFont="1" applyAlignment="1">
      <alignment horizontal="center"/>
    </xf>
    <xf numFmtId="0" fontId="19" fillId="0" borderId="19" xfId="14" applyFont="1" applyBorder="1" applyAlignment="1">
      <alignment horizontal="center"/>
    </xf>
    <xf numFmtId="164" fontId="19" fillId="0" borderId="19" xfId="14" applyNumberFormat="1" applyFont="1" applyBorder="1" applyAlignment="1">
      <alignment horizontal="center"/>
    </xf>
    <xf numFmtId="0" fontId="19" fillId="0" borderId="0" xfId="14" applyFont="1"/>
    <xf numFmtId="0" fontId="20" fillId="0" borderId="0" xfId="14" applyFont="1" applyAlignment="1">
      <alignment vertical="center"/>
    </xf>
    <xf numFmtId="173" fontId="0" fillId="0" borderId="0" xfId="11" applyNumberFormat="1" applyFont="1"/>
    <xf numFmtId="0" fontId="1" fillId="0" borderId="0" xfId="0" applyFont="1" applyFill="1"/>
    <xf numFmtId="0" fontId="1" fillId="0" borderId="0" xfId="0" applyFont="1" applyFill="1" applyAlignment="1">
      <alignment wrapText="1"/>
    </xf>
    <xf numFmtId="0" fontId="1" fillId="0" borderId="0" xfId="0" applyFont="1" applyAlignment="1">
      <alignment horizontal="center"/>
    </xf>
    <xf numFmtId="164" fontId="0" fillId="0" borderId="0" xfId="10" applyNumberFormat="1" applyFont="1" applyAlignment="1">
      <alignment horizontal="center"/>
    </xf>
    <xf numFmtId="0" fontId="1" fillId="0" borderId="7" xfId="0" applyFont="1" applyBorder="1"/>
    <xf numFmtId="9" fontId="0" fillId="0" borderId="0" xfId="10" applyFont="1" applyAlignment="1">
      <alignment horizontal="center"/>
    </xf>
    <xf numFmtId="0" fontId="1" fillId="8" borderId="0" xfId="0" applyFont="1" applyFill="1"/>
    <xf numFmtId="0" fontId="0" fillId="8" borderId="0" xfId="0" applyFill="1"/>
    <xf numFmtId="1" fontId="0" fillId="0" borderId="0" xfId="0" applyNumberFormat="1" applyAlignment="1">
      <alignment horizontal="center"/>
    </xf>
    <xf numFmtId="9" fontId="1" fillId="8" borderId="0" xfId="10" applyFont="1" applyFill="1"/>
    <xf numFmtId="0" fontId="0" fillId="0" borderId="0" xfId="0" applyFill="1" applyBorder="1"/>
    <xf numFmtId="0" fontId="1" fillId="0" borderId="0" xfId="0" applyFont="1" applyAlignment="1">
      <alignment horizontal="center" wrapText="1"/>
    </xf>
    <xf numFmtId="44" fontId="0" fillId="9" borderId="0" xfId="8" applyFont="1" applyFill="1" applyAlignment="1">
      <alignment horizontal="center"/>
    </xf>
    <xf numFmtId="44" fontId="0" fillId="0" borderId="0" xfId="8" applyFont="1" applyAlignment="1">
      <alignment horizontal="center"/>
    </xf>
    <xf numFmtId="44" fontId="1" fillId="0" borderId="7" xfId="8" applyFont="1" applyBorder="1" applyAlignment="1">
      <alignment horizontal="center"/>
    </xf>
    <xf numFmtId="0" fontId="22" fillId="0" borderId="0" xfId="14" applyFont="1" applyAlignment="1">
      <alignment wrapText="1"/>
    </xf>
    <xf numFmtId="0" fontId="16" fillId="0" borderId="0" xfId="14" applyFont="1" applyAlignment="1">
      <alignment wrapText="1"/>
    </xf>
    <xf numFmtId="0" fontId="0" fillId="0" borderId="15" xfId="0" applyBorder="1"/>
    <xf numFmtId="0" fontId="0" fillId="0" borderId="16" xfId="0" applyBorder="1"/>
    <xf numFmtId="0" fontId="0" fillId="0" borderId="17" xfId="0" applyBorder="1"/>
    <xf numFmtId="0" fontId="0" fillId="0" borderId="0" xfId="0" applyBorder="1"/>
    <xf numFmtId="0" fontId="19" fillId="6" borderId="0" xfId="14" applyFont="1" applyFill="1" applyAlignment="1">
      <alignment horizontal="center" vertical="center" wrapText="1"/>
    </xf>
    <xf numFmtId="0" fontId="0" fillId="0" borderId="0" xfId="0" applyAlignment="1">
      <alignment horizontal="left" indent="1"/>
    </xf>
    <xf numFmtId="0" fontId="1" fillId="0" borderId="7" xfId="0" applyFont="1" applyBorder="1" applyAlignment="1">
      <alignment horizontal="left" indent="1"/>
    </xf>
    <xf numFmtId="9" fontId="1" fillId="0" borderId="7" xfId="0" applyNumberFormat="1" applyFont="1" applyBorder="1" applyAlignment="1">
      <alignment horizontal="center"/>
    </xf>
    <xf numFmtId="0" fontId="0" fillId="0" borderId="14" xfId="0" applyBorder="1"/>
    <xf numFmtId="0" fontId="0" fillId="0" borderId="20" xfId="0" applyBorder="1"/>
    <xf numFmtId="0" fontId="1" fillId="0" borderId="0" xfId="0" applyFont="1" applyBorder="1" applyAlignment="1">
      <alignment horizontal="left" indent="1"/>
    </xf>
    <xf numFmtId="9" fontId="1" fillId="0" borderId="0" xfId="0" applyNumberFormat="1" applyFont="1" applyBorder="1" applyAlignment="1">
      <alignment horizontal="center"/>
    </xf>
    <xf numFmtId="2" fontId="0" fillId="0" borderId="0" xfId="0" applyNumberFormat="1" applyAlignment="1">
      <alignment horizontal="center"/>
    </xf>
    <xf numFmtId="174" fontId="0" fillId="0" borderId="0" xfId="0" applyNumberFormat="1" applyAlignment="1">
      <alignment horizontal="center"/>
    </xf>
    <xf numFmtId="0" fontId="0" fillId="0" borderId="0" xfId="0" applyFont="1" applyFill="1"/>
    <xf numFmtId="172" fontId="0" fillId="0" borderId="0" xfId="0" applyNumberFormat="1" applyAlignment="1">
      <alignment horizontal="center"/>
    </xf>
    <xf numFmtId="0" fontId="1" fillId="0" borderId="0" xfId="0" applyFont="1" applyBorder="1"/>
    <xf numFmtId="0" fontId="1" fillId="0" borderId="0" xfId="0" applyFont="1" applyAlignment="1">
      <alignment wrapText="1"/>
    </xf>
    <xf numFmtId="0" fontId="1" fillId="0" borderId="13" xfId="0" applyFont="1" applyBorder="1"/>
    <xf numFmtId="0" fontId="1" fillId="0" borderId="16" xfId="0" applyFont="1" applyBorder="1"/>
    <xf numFmtId="2" fontId="0" fillId="8" borderId="0" xfId="0" applyNumberFormat="1" applyFill="1"/>
    <xf numFmtId="0" fontId="0" fillId="0" borderId="0" xfId="0" applyFont="1" applyFill="1" applyAlignment="1"/>
    <xf numFmtId="166" fontId="0" fillId="0" borderId="0" xfId="0" applyNumberFormat="1" applyAlignment="1">
      <alignment horizontal="center"/>
    </xf>
    <xf numFmtId="166" fontId="1" fillId="0" borderId="0" xfId="0" applyNumberFormat="1" applyFont="1" applyAlignment="1">
      <alignment horizontal="center"/>
    </xf>
    <xf numFmtId="166" fontId="1" fillId="0" borderId="7" xfId="0" applyNumberFormat="1" applyFont="1" applyBorder="1" applyAlignment="1">
      <alignment horizontal="left" indent="1"/>
    </xf>
    <xf numFmtId="0" fontId="1" fillId="0" borderId="0" xfId="0" applyFont="1" applyFill="1" applyAlignment="1">
      <alignment horizontal="center" wrapText="1"/>
    </xf>
    <xf numFmtId="166" fontId="1" fillId="0" borderId="7" xfId="0" applyNumberFormat="1" applyFont="1" applyBorder="1" applyAlignment="1">
      <alignment horizontal="center"/>
    </xf>
    <xf numFmtId="0" fontId="1" fillId="0" borderId="0" xfId="0" applyFont="1" applyFill="1" applyAlignment="1">
      <alignment horizontal="center"/>
    </xf>
    <xf numFmtId="0" fontId="1" fillId="10" borderId="0" xfId="0" applyFont="1" applyFill="1"/>
    <xf numFmtId="0" fontId="0" fillId="10" borderId="0" xfId="0" applyFill="1"/>
    <xf numFmtId="2" fontId="0" fillId="10" borderId="0" xfId="0" applyNumberFormat="1" applyFill="1"/>
    <xf numFmtId="166" fontId="0" fillId="10" borderId="0" xfId="0" applyNumberFormat="1" applyFill="1"/>
    <xf numFmtId="166" fontId="0" fillId="0" borderId="0" xfId="0" applyNumberFormat="1" applyBorder="1" applyAlignment="1">
      <alignment horizontal="center"/>
    </xf>
    <xf numFmtId="0" fontId="0" fillId="0" borderId="16" xfId="0" applyBorder="1" applyAlignment="1">
      <alignment horizontal="left" indent="1"/>
    </xf>
    <xf numFmtId="0" fontId="0" fillId="0" borderId="18" xfId="0" applyBorder="1" applyAlignment="1">
      <alignment horizontal="left" indent="1"/>
    </xf>
    <xf numFmtId="166" fontId="0" fillId="0" borderId="19" xfId="0" applyNumberFormat="1" applyBorder="1" applyAlignment="1">
      <alignment horizontal="center"/>
    </xf>
    <xf numFmtId="169" fontId="0" fillId="0" borderId="0" xfId="0" applyNumberFormat="1" applyAlignment="1">
      <alignment horizontal="center"/>
    </xf>
    <xf numFmtId="166" fontId="1" fillId="0" borderId="0" xfId="0" applyNumberFormat="1" applyFont="1" applyAlignment="1">
      <alignment horizontal="center" wrapText="1"/>
    </xf>
    <xf numFmtId="166" fontId="0" fillId="0" borderId="0" xfId="8" applyNumberFormat="1" applyFont="1" applyAlignment="1">
      <alignment horizontal="center"/>
    </xf>
    <xf numFmtId="166" fontId="1" fillId="0" borderId="7" xfId="8" applyNumberFormat="1" applyFont="1" applyBorder="1" applyAlignment="1">
      <alignment horizontal="center"/>
    </xf>
    <xf numFmtId="0" fontId="0" fillId="11" borderId="0" xfId="0" applyFill="1"/>
    <xf numFmtId="0" fontId="0" fillId="12" borderId="0" xfId="0" applyFill="1"/>
    <xf numFmtId="166" fontId="0" fillId="0" borderId="0" xfId="10" applyNumberFormat="1" applyFont="1" applyAlignment="1">
      <alignment horizontal="center"/>
    </xf>
    <xf numFmtId="1" fontId="0" fillId="0" borderId="0" xfId="11" applyNumberFormat="1" applyFont="1"/>
    <xf numFmtId="10" fontId="0" fillId="0" borderId="0" xfId="0" applyNumberFormat="1"/>
    <xf numFmtId="43" fontId="0" fillId="0" borderId="0" xfId="0" applyNumberFormat="1"/>
    <xf numFmtId="2" fontId="0" fillId="0" borderId="0" xfId="0" applyNumberFormat="1" applyFill="1" applyBorder="1"/>
    <xf numFmtId="0" fontId="1" fillId="0" borderId="0" xfId="0" applyFont="1" applyFill="1" applyBorder="1"/>
    <xf numFmtId="0" fontId="1" fillId="5" borderId="0" xfId="0" applyFont="1" applyFill="1" applyAlignment="1">
      <alignment horizontal="left" indent="1"/>
    </xf>
    <xf numFmtId="164" fontId="1" fillId="5" borderId="0" xfId="10" applyNumberFormat="1" applyFont="1" applyFill="1" applyAlignment="1">
      <alignment horizontal="center"/>
    </xf>
    <xf numFmtId="44" fontId="0" fillId="0" borderId="0" xfId="8" applyFont="1" applyFill="1"/>
    <xf numFmtId="44" fontId="0" fillId="0" borderId="0" xfId="0" applyNumberFormat="1" applyFill="1"/>
    <xf numFmtId="9" fontId="0" fillId="0" borderId="0" xfId="10" applyFont="1" applyFill="1" applyAlignment="1">
      <alignment horizontal="center"/>
    </xf>
    <xf numFmtId="1" fontId="0" fillId="0" borderId="0" xfId="8" applyNumberFormat="1" applyFont="1"/>
    <xf numFmtId="9" fontId="0" fillId="0" borderId="0" xfId="0" applyNumberFormat="1"/>
    <xf numFmtId="0" fontId="24" fillId="0" borderId="0" xfId="0" applyFont="1" applyAlignment="1">
      <alignment vertical="top"/>
    </xf>
    <xf numFmtId="0" fontId="1" fillId="0" borderId="0" xfId="0" applyFont="1" applyFill="1" applyAlignment="1">
      <alignment horizontal="left"/>
    </xf>
    <xf numFmtId="9" fontId="0" fillId="0" borderId="0" xfId="10" applyFont="1" applyFill="1" applyBorder="1" applyAlignment="1">
      <alignment horizontal="center"/>
    </xf>
    <xf numFmtId="3" fontId="0" fillId="0" borderId="0" xfId="0" applyNumberFormat="1"/>
    <xf numFmtId="0" fontId="0" fillId="0" borderId="11" xfId="0" applyFill="1" applyBorder="1"/>
    <xf numFmtId="0" fontId="1" fillId="6" borderId="0" xfId="0" applyFont="1" applyFill="1"/>
    <xf numFmtId="0" fontId="25" fillId="0" borderId="0" xfId="0" applyFont="1"/>
    <xf numFmtId="0" fontId="25" fillId="0" borderId="12" xfId="0" applyFont="1" applyBorder="1"/>
    <xf numFmtId="0" fontId="17" fillId="0" borderId="0" xfId="14" applyFont="1" applyAlignment="1">
      <alignment horizontal="center"/>
    </xf>
    <xf numFmtId="0" fontId="17" fillId="0" borderId="0" xfId="14" applyFont="1" applyAlignment="1">
      <alignment horizontal="center" vertical="center" wrapText="1"/>
    </xf>
    <xf numFmtId="0" fontId="16" fillId="0" borderId="13" xfId="14" applyFont="1" applyBorder="1" applyAlignment="1">
      <alignment horizontal="left" wrapText="1"/>
    </xf>
    <xf numFmtId="0" fontId="16" fillId="0" borderId="14" xfId="14" applyFont="1" applyBorder="1" applyAlignment="1">
      <alignment horizontal="left" wrapText="1"/>
    </xf>
    <xf numFmtId="0" fontId="16" fillId="0" borderId="15" xfId="14" applyFont="1" applyBorder="1" applyAlignment="1">
      <alignment horizontal="left" wrapText="1"/>
    </xf>
    <xf numFmtId="0" fontId="16" fillId="0" borderId="16" xfId="14" applyFont="1" applyBorder="1" applyAlignment="1">
      <alignment horizontal="left" wrapText="1"/>
    </xf>
    <xf numFmtId="0" fontId="16" fillId="0" borderId="0" xfId="14" applyFont="1" applyAlignment="1">
      <alignment horizontal="left" wrapText="1"/>
    </xf>
    <xf numFmtId="0" fontId="16" fillId="0" borderId="17" xfId="14" applyFont="1" applyBorder="1" applyAlignment="1">
      <alignment horizontal="left" wrapText="1"/>
    </xf>
    <xf numFmtId="0" fontId="16" fillId="0" borderId="18" xfId="14" applyFont="1" applyBorder="1" applyAlignment="1">
      <alignment horizontal="left" wrapText="1"/>
    </xf>
    <xf numFmtId="0" fontId="16" fillId="0" borderId="19" xfId="14" applyFont="1" applyBorder="1" applyAlignment="1">
      <alignment horizontal="left" wrapText="1"/>
    </xf>
    <xf numFmtId="0" fontId="16" fillId="0" borderId="20" xfId="14" applyFont="1" applyBorder="1" applyAlignment="1">
      <alignment horizontal="left" wrapText="1"/>
    </xf>
    <xf numFmtId="0" fontId="17" fillId="0" borderId="0" xfId="14" applyFont="1" applyAlignment="1">
      <alignment horizontal="center" vertical="center"/>
    </xf>
    <xf numFmtId="0" fontId="19" fillId="0" borderId="0" xfId="14" applyFont="1" applyAlignment="1">
      <alignment horizontal="left" vertical="center" wrapText="1"/>
    </xf>
    <xf numFmtId="0" fontId="16" fillId="0" borderId="0" xfId="14" applyFont="1" applyAlignment="1">
      <alignment horizontal="center"/>
    </xf>
    <xf numFmtId="0" fontId="1" fillId="4" borderId="7" xfId="0" applyFont="1" applyFill="1" applyBorder="1" applyAlignment="1">
      <alignment horizontal="center" vertical="center" wrapText="1"/>
    </xf>
    <xf numFmtId="0" fontId="1" fillId="4" borderId="0" xfId="0" applyFont="1" applyFill="1" applyBorder="1" applyAlignment="1">
      <alignment horizontal="center" vertical="center" wrapText="1"/>
    </xf>
    <xf numFmtId="0" fontId="1" fillId="4" borderId="7" xfId="0" applyFont="1" applyFill="1" applyBorder="1" applyAlignment="1">
      <alignment horizontal="center"/>
    </xf>
    <xf numFmtId="0" fontId="1" fillId="4" borderId="8" xfId="0" applyFont="1" applyFill="1" applyBorder="1" applyAlignment="1">
      <alignment horizontal="center"/>
    </xf>
    <xf numFmtId="0" fontId="2" fillId="0" borderId="1" xfId="2">
      <alignment wrapText="1"/>
    </xf>
    <xf numFmtId="0" fontId="1" fillId="13" borderId="0" xfId="0" applyFont="1" applyFill="1"/>
    <xf numFmtId="0" fontId="0" fillId="13" borderId="0" xfId="0" applyFill="1"/>
  </cellXfs>
  <cellStyles count="16">
    <cellStyle name="40% - Accent3 2" xfId="13" xr:uid="{71A76F7E-F2EF-456B-9A9E-875D1979EECF}"/>
    <cellStyle name="Body: normal cell" xfId="4" xr:uid="{00000000-0005-0000-0000-000000000000}"/>
    <cellStyle name="Comma" xfId="11" builtinId="3"/>
    <cellStyle name="Comma 2" xfId="15" xr:uid="{AEBE0F13-9A2A-480B-B7CA-80807E857857}"/>
    <cellStyle name="Currency" xfId="8" builtinId="4"/>
    <cellStyle name="Font: Calibri, 9pt regular" xfId="6" xr:uid="{00000000-0005-0000-0000-000002000000}"/>
    <cellStyle name="Footnotes: top row" xfId="2" xr:uid="{00000000-0005-0000-0000-000003000000}"/>
    <cellStyle name="Header: bottom row" xfId="5" xr:uid="{00000000-0005-0000-0000-000004000000}"/>
    <cellStyle name="Hyperlink" xfId="9" builtinId="8"/>
    <cellStyle name="Normal" xfId="0" builtinId="0"/>
    <cellStyle name="Normal 2" xfId="1" xr:uid="{00000000-0005-0000-0000-000007000000}"/>
    <cellStyle name="Normal 2 2" xfId="12" xr:uid="{06E6D4F5-38CC-4866-947D-624A785BAD31}"/>
    <cellStyle name="Normal 3" xfId="14" xr:uid="{5AB2277B-8A16-46C2-B26A-831C8E2A5C3D}"/>
    <cellStyle name="Parent row" xfId="3" xr:uid="{00000000-0005-0000-0000-000008000000}"/>
    <cellStyle name="Percent" xfId="10" builtinId="5"/>
    <cellStyle name="Table title" xfId="7" xr:uid="{00000000-0005-0000-0000-000009000000}"/>
  </cellStyles>
  <dxfs count="0"/>
  <tableStyles count="0" defaultTableStyle="TableStyleMedium2" defaultPivotStyle="PivotStyleLight16"/>
  <colors>
    <mruColors>
      <color rgb="FFFFEEB7"/>
      <color rgb="FFFFCC66"/>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externalLink" Target="externalLinks/externalLink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externalLink" Target="externalLinks/externalLink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28575"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og"/>
            <c:dispRSqr val="0"/>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Hydrogen!$B$20:$C$20</c:f>
              <c:numCache>
                <c:formatCode>General</c:formatCode>
                <c:ptCount val="2"/>
                <c:pt idx="0">
                  <c:v>1</c:v>
                </c:pt>
                <c:pt idx="1">
                  <c:v>11</c:v>
                </c:pt>
              </c:numCache>
            </c:numRef>
          </c:xVal>
          <c:yVal>
            <c:numRef>
              <c:f>Hydrogen!$B$21:$C$21</c:f>
              <c:numCache>
                <c:formatCode>General</c:formatCode>
                <c:ptCount val="2"/>
                <c:pt idx="0">
                  <c:v>1.2857142857142858</c:v>
                </c:pt>
                <c:pt idx="1">
                  <c:v>1.1333333333333333</c:v>
                </c:pt>
              </c:numCache>
            </c:numRef>
          </c:yVal>
          <c:smooth val="0"/>
          <c:extLst>
            <c:ext xmlns:c16="http://schemas.microsoft.com/office/drawing/2014/chart" uri="{C3380CC4-5D6E-409C-BE32-E72D297353CC}">
              <c16:uniqueId val="{00000000-9282-4E1E-83F1-436411B6CE18}"/>
            </c:ext>
          </c:extLst>
        </c:ser>
        <c:dLbls>
          <c:showLegendKey val="0"/>
          <c:showVal val="0"/>
          <c:showCatName val="0"/>
          <c:showSerName val="0"/>
          <c:showPercent val="0"/>
          <c:showBubbleSize val="0"/>
        </c:dLbls>
        <c:axId val="582374920"/>
        <c:axId val="582370984"/>
      </c:scatterChart>
      <c:valAx>
        <c:axId val="5823749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2370984"/>
        <c:crosses val="autoZero"/>
        <c:crossBetween val="midCat"/>
      </c:valAx>
      <c:valAx>
        <c:axId val="5823709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237492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12.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2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14.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6.png"/><Relationship Id="rId1" Type="http://schemas.openxmlformats.org/officeDocument/2006/relationships/image" Target="../media/image12.png"/><Relationship Id="rId5" Type="http://schemas.openxmlformats.org/officeDocument/2006/relationships/image" Target="../media/image15.png"/><Relationship Id="rId4" Type="http://schemas.openxmlformats.org/officeDocument/2006/relationships/image" Target="../media/image14.png"/></Relationships>
</file>

<file path=xl/drawings/_rels/drawing8.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2.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image" Target="../media/image11.png"/></Relationships>
</file>

<file path=xl/drawings/_rels/drawing9.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173</xdr:row>
      <xdr:rowOff>0</xdr:rowOff>
    </xdr:from>
    <xdr:to>
      <xdr:col>3</xdr:col>
      <xdr:colOff>330920</xdr:colOff>
      <xdr:row>180</xdr:row>
      <xdr:rowOff>149411</xdr:rowOff>
    </xdr:to>
    <xdr:pic>
      <xdr:nvPicPr>
        <xdr:cNvPr id="2" name="Picture 1">
          <a:extLst>
            <a:ext uri="{FF2B5EF4-FFF2-40B4-BE49-F238E27FC236}">
              <a16:creationId xmlns:a16="http://schemas.microsoft.com/office/drawing/2014/main" id="{AF759359-E7E8-4CF6-8169-40C5DC658CDB}"/>
            </a:ext>
          </a:extLst>
        </xdr:cNvPr>
        <xdr:cNvPicPr>
          <a:picLocks noChangeAspect="1"/>
        </xdr:cNvPicPr>
      </xdr:nvPicPr>
      <xdr:blipFill>
        <a:blip xmlns:r="http://schemas.openxmlformats.org/officeDocument/2006/relationships" r:embed="rId1"/>
        <a:stretch>
          <a:fillRect/>
        </a:stretch>
      </xdr:blipFill>
      <xdr:spPr>
        <a:xfrm>
          <a:off x="0" y="32825765"/>
          <a:ext cx="5485626" cy="145676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25400</xdr:colOff>
      <xdr:row>79</xdr:row>
      <xdr:rowOff>82550</xdr:rowOff>
    </xdr:from>
    <xdr:to>
      <xdr:col>2</xdr:col>
      <xdr:colOff>599033</xdr:colOff>
      <xdr:row>87</xdr:row>
      <xdr:rowOff>33441</xdr:rowOff>
    </xdr:to>
    <xdr:pic>
      <xdr:nvPicPr>
        <xdr:cNvPr id="2" name="Picture 1">
          <a:extLst>
            <a:ext uri="{FF2B5EF4-FFF2-40B4-BE49-F238E27FC236}">
              <a16:creationId xmlns:a16="http://schemas.microsoft.com/office/drawing/2014/main" id="{0108A506-8885-4571-B430-231DE6D89688}"/>
            </a:ext>
          </a:extLst>
        </xdr:cNvPr>
        <xdr:cNvPicPr>
          <a:picLocks noChangeAspect="1"/>
        </xdr:cNvPicPr>
      </xdr:nvPicPr>
      <xdr:blipFill>
        <a:blip xmlns:r="http://schemas.openxmlformats.org/officeDocument/2006/relationships" r:embed="rId1"/>
        <a:stretch>
          <a:fillRect/>
        </a:stretch>
      </xdr:blipFill>
      <xdr:spPr>
        <a:xfrm>
          <a:off x="25400" y="14998700"/>
          <a:ext cx="2865983" cy="142409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12700</xdr:colOff>
      <xdr:row>12</xdr:row>
      <xdr:rowOff>58200</xdr:rowOff>
    </xdr:from>
    <xdr:to>
      <xdr:col>1</xdr:col>
      <xdr:colOff>1327150</xdr:colOff>
      <xdr:row>13</xdr:row>
      <xdr:rowOff>119653</xdr:rowOff>
    </xdr:to>
    <xdr:pic>
      <xdr:nvPicPr>
        <xdr:cNvPr id="2" name="Picture 1">
          <a:extLst>
            <a:ext uri="{FF2B5EF4-FFF2-40B4-BE49-F238E27FC236}">
              <a16:creationId xmlns:a16="http://schemas.microsoft.com/office/drawing/2014/main" id="{56D7293F-7077-4D57-A3A9-72623E3D3B32}"/>
            </a:ext>
          </a:extLst>
        </xdr:cNvPr>
        <xdr:cNvPicPr>
          <a:picLocks noChangeAspect="1"/>
        </xdr:cNvPicPr>
      </xdr:nvPicPr>
      <xdr:blipFill>
        <a:blip xmlns:r="http://schemas.openxmlformats.org/officeDocument/2006/relationships" r:embed="rId1"/>
        <a:stretch>
          <a:fillRect/>
        </a:stretch>
      </xdr:blipFill>
      <xdr:spPr>
        <a:xfrm>
          <a:off x="12700" y="2268000"/>
          <a:ext cx="2476500" cy="245603"/>
        </a:xfrm>
        <a:prstGeom prst="rect">
          <a:avLst/>
        </a:prstGeom>
      </xdr:spPr>
    </xdr:pic>
    <xdr:clientData/>
  </xdr:twoCellAnchor>
  <xdr:twoCellAnchor editAs="oneCell">
    <xdr:from>
      <xdr:col>0</xdr:col>
      <xdr:colOff>0</xdr:colOff>
      <xdr:row>33</xdr:row>
      <xdr:rowOff>31750</xdr:rowOff>
    </xdr:from>
    <xdr:to>
      <xdr:col>1</xdr:col>
      <xdr:colOff>1383901</xdr:colOff>
      <xdr:row>39</xdr:row>
      <xdr:rowOff>146414</xdr:rowOff>
    </xdr:to>
    <xdr:pic>
      <xdr:nvPicPr>
        <xdr:cNvPr id="3" name="Picture 2">
          <a:extLst>
            <a:ext uri="{FF2B5EF4-FFF2-40B4-BE49-F238E27FC236}">
              <a16:creationId xmlns:a16="http://schemas.microsoft.com/office/drawing/2014/main" id="{AF5586E9-CEFA-4042-8557-CEF19B8D5637}"/>
            </a:ext>
          </a:extLst>
        </xdr:cNvPr>
        <xdr:cNvPicPr>
          <a:picLocks noChangeAspect="1"/>
        </xdr:cNvPicPr>
      </xdr:nvPicPr>
      <xdr:blipFill>
        <a:blip xmlns:r="http://schemas.openxmlformats.org/officeDocument/2006/relationships" r:embed="rId2"/>
        <a:stretch>
          <a:fillRect/>
        </a:stretch>
      </xdr:blipFill>
      <xdr:spPr>
        <a:xfrm>
          <a:off x="0" y="6108700"/>
          <a:ext cx="2545951" cy="121956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594470</xdr:colOff>
      <xdr:row>19</xdr:row>
      <xdr:rowOff>107949</xdr:rowOff>
    </xdr:from>
    <xdr:to>
      <xdr:col>11</xdr:col>
      <xdr:colOff>228600</xdr:colOff>
      <xdr:row>35</xdr:row>
      <xdr:rowOff>181262</xdr:rowOff>
    </xdr:to>
    <xdr:pic>
      <xdr:nvPicPr>
        <xdr:cNvPr id="4" name="Picture 3">
          <a:extLst>
            <a:ext uri="{FF2B5EF4-FFF2-40B4-BE49-F238E27FC236}">
              <a16:creationId xmlns:a16="http://schemas.microsoft.com/office/drawing/2014/main" id="{16AFECD0-D86C-493C-B7ED-009EDC2B1E1C}"/>
            </a:ext>
          </a:extLst>
        </xdr:cNvPr>
        <xdr:cNvPicPr>
          <a:picLocks noChangeAspect="1"/>
        </xdr:cNvPicPr>
      </xdr:nvPicPr>
      <xdr:blipFill>
        <a:blip xmlns:r="http://schemas.openxmlformats.org/officeDocument/2006/relationships" r:embed="rId1"/>
        <a:stretch>
          <a:fillRect/>
        </a:stretch>
      </xdr:blipFill>
      <xdr:spPr>
        <a:xfrm>
          <a:off x="2886820" y="3606799"/>
          <a:ext cx="4510930" cy="3019713"/>
        </a:xfrm>
        <a:prstGeom prst="rect">
          <a:avLst/>
        </a:prstGeom>
      </xdr:spPr>
    </xdr:pic>
    <xdr:clientData/>
  </xdr:twoCellAnchor>
  <xdr:twoCellAnchor>
    <xdr:from>
      <xdr:col>0</xdr:col>
      <xdr:colOff>0</xdr:colOff>
      <xdr:row>24</xdr:row>
      <xdr:rowOff>152400</xdr:rowOff>
    </xdr:from>
    <xdr:to>
      <xdr:col>2</xdr:col>
      <xdr:colOff>247651</xdr:colOff>
      <xdr:row>31</xdr:row>
      <xdr:rowOff>44450</xdr:rowOff>
    </xdr:to>
    <xdr:graphicFrame macro="">
      <xdr:nvGraphicFramePr>
        <xdr:cNvPr id="7" name="Chart 6">
          <a:extLst>
            <a:ext uri="{FF2B5EF4-FFF2-40B4-BE49-F238E27FC236}">
              <a16:creationId xmlns:a16="http://schemas.microsoft.com/office/drawing/2014/main" id="{B5E4A23D-C3FB-4149-9AE8-5C4B9CB8F1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9</xdr:row>
      <xdr:rowOff>0</xdr:rowOff>
    </xdr:from>
    <xdr:to>
      <xdr:col>3</xdr:col>
      <xdr:colOff>382759</xdr:colOff>
      <xdr:row>14</xdr:row>
      <xdr:rowOff>142875</xdr:rowOff>
    </xdr:to>
    <xdr:pic>
      <xdr:nvPicPr>
        <xdr:cNvPr id="2" name="Picture 1">
          <a:extLst>
            <a:ext uri="{FF2B5EF4-FFF2-40B4-BE49-F238E27FC236}">
              <a16:creationId xmlns:a16="http://schemas.microsoft.com/office/drawing/2014/main" id="{4F7CD980-1030-43EC-ABF8-B6D3EDA285BE}"/>
            </a:ext>
          </a:extLst>
        </xdr:cNvPr>
        <xdr:cNvPicPr>
          <a:picLocks noChangeAspect="1"/>
        </xdr:cNvPicPr>
      </xdr:nvPicPr>
      <xdr:blipFill>
        <a:blip xmlns:r="http://schemas.openxmlformats.org/officeDocument/2006/relationships" r:embed="rId1"/>
        <a:stretch>
          <a:fillRect/>
        </a:stretch>
      </xdr:blipFill>
      <xdr:spPr>
        <a:xfrm>
          <a:off x="0" y="714375"/>
          <a:ext cx="5140497" cy="1035844"/>
        </a:xfrm>
        <a:prstGeom prst="rect">
          <a:avLst/>
        </a:prstGeom>
      </xdr:spPr>
    </xdr:pic>
    <xdr:clientData/>
  </xdr:twoCellAnchor>
  <xdr:twoCellAnchor editAs="oneCell">
    <xdr:from>
      <xdr:col>0</xdr:col>
      <xdr:colOff>11906</xdr:colOff>
      <xdr:row>27</xdr:row>
      <xdr:rowOff>80960</xdr:rowOff>
    </xdr:from>
    <xdr:to>
      <xdr:col>1</xdr:col>
      <xdr:colOff>743445</xdr:colOff>
      <xdr:row>36</xdr:row>
      <xdr:rowOff>119857</xdr:rowOff>
    </xdr:to>
    <xdr:pic>
      <xdr:nvPicPr>
        <xdr:cNvPr id="3" name="Picture 2">
          <a:extLst>
            <a:ext uri="{FF2B5EF4-FFF2-40B4-BE49-F238E27FC236}">
              <a16:creationId xmlns:a16="http://schemas.microsoft.com/office/drawing/2014/main" id="{A01155F0-7C43-4E7A-A900-7ED6CED54A54}"/>
            </a:ext>
          </a:extLst>
        </xdr:cNvPr>
        <xdr:cNvPicPr>
          <a:picLocks noChangeAspect="1"/>
        </xdr:cNvPicPr>
      </xdr:nvPicPr>
      <xdr:blipFill>
        <a:blip xmlns:r="http://schemas.openxmlformats.org/officeDocument/2006/relationships" r:embed="rId2"/>
        <a:stretch>
          <a:fillRect/>
        </a:stretch>
      </xdr:blipFill>
      <xdr:spPr>
        <a:xfrm>
          <a:off x="11906" y="3295648"/>
          <a:ext cx="2893715" cy="1662114"/>
        </a:xfrm>
        <a:prstGeom prst="rect">
          <a:avLst/>
        </a:prstGeom>
      </xdr:spPr>
    </xdr:pic>
    <xdr:clientData/>
  </xdr:twoCellAnchor>
  <xdr:twoCellAnchor editAs="oneCell">
    <xdr:from>
      <xdr:col>6</xdr:col>
      <xdr:colOff>301625</xdr:colOff>
      <xdr:row>41</xdr:row>
      <xdr:rowOff>79375</xdr:rowOff>
    </xdr:from>
    <xdr:to>
      <xdr:col>11</xdr:col>
      <xdr:colOff>788292</xdr:colOff>
      <xdr:row>52</xdr:row>
      <xdr:rowOff>68263</xdr:rowOff>
    </xdr:to>
    <xdr:pic>
      <xdr:nvPicPr>
        <xdr:cNvPr id="11" name="Picture 10">
          <a:extLst>
            <a:ext uri="{FF2B5EF4-FFF2-40B4-BE49-F238E27FC236}">
              <a16:creationId xmlns:a16="http://schemas.microsoft.com/office/drawing/2014/main" id="{FE51F56D-195A-472D-8CD3-78330EDBF529}"/>
            </a:ext>
          </a:extLst>
        </xdr:cNvPr>
        <xdr:cNvPicPr>
          <a:picLocks noChangeAspect="1"/>
        </xdr:cNvPicPr>
      </xdr:nvPicPr>
      <xdr:blipFill>
        <a:blip xmlns:r="http://schemas.openxmlformats.org/officeDocument/2006/relationships" r:embed="rId3"/>
        <a:stretch>
          <a:fillRect/>
        </a:stretch>
      </xdr:blipFill>
      <xdr:spPr>
        <a:xfrm>
          <a:off x="9080500" y="7794625"/>
          <a:ext cx="6082605" cy="19970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57150</xdr:colOff>
      <xdr:row>0</xdr:row>
      <xdr:rowOff>0</xdr:rowOff>
    </xdr:from>
    <xdr:to>
      <xdr:col>11</xdr:col>
      <xdr:colOff>553030</xdr:colOff>
      <xdr:row>10</xdr:row>
      <xdr:rowOff>28845</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001250" y="0"/>
          <a:ext cx="4153480" cy="193384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45</xdr:row>
      <xdr:rowOff>152400</xdr:rowOff>
    </xdr:from>
    <xdr:to>
      <xdr:col>5</xdr:col>
      <xdr:colOff>129650</xdr:colOff>
      <xdr:row>56</xdr:row>
      <xdr:rowOff>30562</xdr:rowOff>
    </xdr:to>
    <xdr:pic>
      <xdr:nvPicPr>
        <xdr:cNvPr id="2" name="Picture 1">
          <a:extLst>
            <a:ext uri="{FF2B5EF4-FFF2-40B4-BE49-F238E27FC236}">
              <a16:creationId xmlns:a16="http://schemas.microsoft.com/office/drawing/2014/main" id="{8BA98913-3215-4740-B0C8-BD04D729520C}"/>
            </a:ext>
          </a:extLst>
        </xdr:cNvPr>
        <xdr:cNvPicPr>
          <a:picLocks noChangeAspect="1"/>
        </xdr:cNvPicPr>
      </xdr:nvPicPr>
      <xdr:blipFill>
        <a:blip xmlns:r="http://schemas.openxmlformats.org/officeDocument/2006/relationships" r:embed="rId1"/>
        <a:stretch>
          <a:fillRect/>
        </a:stretch>
      </xdr:blipFill>
      <xdr:spPr>
        <a:xfrm>
          <a:off x="0" y="7886700"/>
          <a:ext cx="5873225" cy="1899051"/>
        </a:xfrm>
        <a:prstGeom prst="rect">
          <a:avLst/>
        </a:prstGeom>
      </xdr:spPr>
    </xdr:pic>
    <xdr:clientData/>
  </xdr:twoCellAnchor>
  <xdr:twoCellAnchor editAs="oneCell">
    <xdr:from>
      <xdr:col>0</xdr:col>
      <xdr:colOff>0</xdr:colOff>
      <xdr:row>95</xdr:row>
      <xdr:rowOff>0</xdr:rowOff>
    </xdr:from>
    <xdr:to>
      <xdr:col>6</xdr:col>
      <xdr:colOff>817280</xdr:colOff>
      <xdr:row>146</xdr:row>
      <xdr:rowOff>150439</xdr:rowOff>
    </xdr:to>
    <xdr:pic>
      <xdr:nvPicPr>
        <xdr:cNvPr id="3" name="Picture 2">
          <a:extLst>
            <a:ext uri="{FF2B5EF4-FFF2-40B4-BE49-F238E27FC236}">
              <a16:creationId xmlns:a16="http://schemas.microsoft.com/office/drawing/2014/main" id="{D539F96A-12A4-4A43-94B0-2B95FEBB51C1}"/>
            </a:ext>
          </a:extLst>
        </xdr:cNvPr>
        <xdr:cNvPicPr>
          <a:picLocks noChangeAspect="1"/>
        </xdr:cNvPicPr>
      </xdr:nvPicPr>
      <xdr:blipFill rotWithShape="1">
        <a:blip xmlns:r="http://schemas.openxmlformats.org/officeDocument/2006/relationships" r:embed="rId2"/>
        <a:srcRect l="6013" r="8019"/>
        <a:stretch/>
      </xdr:blipFill>
      <xdr:spPr>
        <a:xfrm>
          <a:off x="0" y="17189824"/>
          <a:ext cx="7391398" cy="96754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4</xdr:col>
      <xdr:colOff>419380</xdr:colOff>
      <xdr:row>23</xdr:row>
      <xdr:rowOff>40280</xdr:rowOff>
    </xdr:to>
    <xdr:pic>
      <xdr:nvPicPr>
        <xdr:cNvPr id="3" name="Picture 2">
          <a:extLst>
            <a:ext uri="{FF2B5EF4-FFF2-40B4-BE49-F238E27FC236}">
              <a16:creationId xmlns:a16="http://schemas.microsoft.com/office/drawing/2014/main" id="{5CC3A75B-913A-442C-94FF-52A1A1B604B4}"/>
            </a:ext>
          </a:extLst>
        </xdr:cNvPr>
        <xdr:cNvPicPr>
          <a:picLocks noChangeAspect="1"/>
        </xdr:cNvPicPr>
      </xdr:nvPicPr>
      <xdr:blipFill>
        <a:blip xmlns:r="http://schemas.openxmlformats.org/officeDocument/2006/relationships" r:embed="rId1"/>
        <a:stretch>
          <a:fillRect/>
        </a:stretch>
      </xdr:blipFill>
      <xdr:spPr>
        <a:xfrm>
          <a:off x="0" y="0"/>
          <a:ext cx="5748618" cy="344210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7</xdr:col>
      <xdr:colOff>38747</xdr:colOff>
      <xdr:row>30</xdr:row>
      <xdr:rowOff>162415</xdr:rowOff>
    </xdr:to>
    <xdr:pic>
      <xdr:nvPicPr>
        <xdr:cNvPr id="5" name="Picture 4">
          <a:extLst>
            <a:ext uri="{FF2B5EF4-FFF2-40B4-BE49-F238E27FC236}">
              <a16:creationId xmlns:a16="http://schemas.microsoft.com/office/drawing/2014/main" id="{C4771925-E356-4241-A5DC-4E7411127C39}"/>
            </a:ext>
          </a:extLst>
        </xdr:cNvPr>
        <xdr:cNvPicPr>
          <a:picLocks noChangeAspect="1"/>
        </xdr:cNvPicPr>
      </xdr:nvPicPr>
      <xdr:blipFill>
        <a:blip xmlns:r="http://schemas.openxmlformats.org/officeDocument/2006/relationships" r:embed="rId1"/>
        <a:stretch>
          <a:fillRect/>
        </a:stretch>
      </xdr:blipFill>
      <xdr:spPr>
        <a:xfrm>
          <a:off x="0" y="179294"/>
          <a:ext cx="7501865" cy="537959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476250</xdr:colOff>
      <xdr:row>59</xdr:row>
      <xdr:rowOff>107949</xdr:rowOff>
    </xdr:from>
    <xdr:ext cx="2067267" cy="2311401"/>
    <xdr:pic>
      <xdr:nvPicPr>
        <xdr:cNvPr id="2" name="Picture 1">
          <a:extLst>
            <a:ext uri="{FF2B5EF4-FFF2-40B4-BE49-F238E27FC236}">
              <a16:creationId xmlns:a16="http://schemas.microsoft.com/office/drawing/2014/main" id="{ECA8C089-F804-4E4E-B097-AE28464865A3}"/>
            </a:ext>
          </a:extLst>
        </xdr:cNvPr>
        <xdr:cNvPicPr>
          <a:picLocks noChangeAspect="1"/>
        </xdr:cNvPicPr>
      </xdr:nvPicPr>
      <xdr:blipFill>
        <a:blip xmlns:r="http://schemas.openxmlformats.org/officeDocument/2006/relationships" r:embed="rId1"/>
        <a:stretch>
          <a:fillRect/>
        </a:stretch>
      </xdr:blipFill>
      <xdr:spPr>
        <a:xfrm>
          <a:off x="1695450" y="10420349"/>
          <a:ext cx="2067267" cy="2311401"/>
        </a:xfrm>
        <a:prstGeom prst="rect">
          <a:avLst/>
        </a:prstGeom>
      </xdr:spPr>
    </xdr:pic>
    <xdr:clientData/>
  </xdr:oneCellAnchor>
  <xdr:oneCellAnchor>
    <xdr:from>
      <xdr:col>7</xdr:col>
      <xdr:colOff>311150</xdr:colOff>
      <xdr:row>7</xdr:row>
      <xdr:rowOff>76200</xdr:rowOff>
    </xdr:from>
    <xdr:ext cx="11260121" cy="6506483"/>
    <xdr:pic>
      <xdr:nvPicPr>
        <xdr:cNvPr id="3" name="Picture 2">
          <a:extLst>
            <a:ext uri="{FF2B5EF4-FFF2-40B4-BE49-F238E27FC236}">
              <a16:creationId xmlns:a16="http://schemas.microsoft.com/office/drawing/2014/main" id="{62BFDD0F-0EC2-41DD-A4C5-1C86213FCD6F}"/>
            </a:ext>
          </a:extLst>
        </xdr:cNvPr>
        <xdr:cNvPicPr>
          <a:picLocks noChangeAspect="1"/>
        </xdr:cNvPicPr>
      </xdr:nvPicPr>
      <xdr:blipFill>
        <a:blip xmlns:r="http://schemas.openxmlformats.org/officeDocument/2006/relationships" r:embed="rId2"/>
        <a:stretch>
          <a:fillRect/>
        </a:stretch>
      </xdr:blipFill>
      <xdr:spPr>
        <a:xfrm>
          <a:off x="4578350" y="812800"/>
          <a:ext cx="11260121" cy="6506483"/>
        </a:xfrm>
        <a:prstGeom prst="rect">
          <a:avLst/>
        </a:prstGeom>
      </xdr:spPr>
    </xdr:pic>
    <xdr:clientData/>
  </xdr:oneCellAnchor>
  <xdr:oneCellAnchor>
    <xdr:from>
      <xdr:col>5</xdr:col>
      <xdr:colOff>558801</xdr:colOff>
      <xdr:row>0</xdr:row>
      <xdr:rowOff>82551</xdr:rowOff>
    </xdr:from>
    <xdr:ext cx="6102350" cy="3041650"/>
    <xdr:pic>
      <xdr:nvPicPr>
        <xdr:cNvPr id="4" name="Picture 3">
          <a:extLst>
            <a:ext uri="{FF2B5EF4-FFF2-40B4-BE49-F238E27FC236}">
              <a16:creationId xmlns:a16="http://schemas.microsoft.com/office/drawing/2014/main" id="{E736D40F-9A2C-436C-A4CD-DD0A338DBBD9}"/>
            </a:ext>
          </a:extLst>
        </xdr:cNvPr>
        <xdr:cNvPicPr>
          <a:picLocks noChangeAspect="1"/>
        </xdr:cNvPicPr>
      </xdr:nvPicPr>
      <xdr:blipFill rotWithShape="1">
        <a:blip xmlns:r="http://schemas.openxmlformats.org/officeDocument/2006/relationships" r:embed="rId3"/>
        <a:srcRect t="1" r="1764" b="920"/>
        <a:stretch/>
      </xdr:blipFill>
      <xdr:spPr>
        <a:xfrm>
          <a:off x="5365751" y="82551"/>
          <a:ext cx="6102350" cy="3041650"/>
        </a:xfrm>
        <a:prstGeom prst="rect">
          <a:avLst/>
        </a:prstGeom>
      </xdr:spPr>
    </xdr:pic>
    <xdr:clientData/>
  </xdr:oneCellAnchor>
  <xdr:oneCellAnchor>
    <xdr:from>
      <xdr:col>3</xdr:col>
      <xdr:colOff>180078</xdr:colOff>
      <xdr:row>23</xdr:row>
      <xdr:rowOff>177800</xdr:rowOff>
    </xdr:from>
    <xdr:ext cx="5431065" cy="4731550"/>
    <xdr:pic>
      <xdr:nvPicPr>
        <xdr:cNvPr id="5" name="Picture 4">
          <a:extLst>
            <a:ext uri="{FF2B5EF4-FFF2-40B4-BE49-F238E27FC236}">
              <a16:creationId xmlns:a16="http://schemas.microsoft.com/office/drawing/2014/main" id="{67415620-3924-4076-AE02-21D02277CEF6}"/>
            </a:ext>
          </a:extLst>
        </xdr:cNvPr>
        <xdr:cNvPicPr>
          <a:picLocks noChangeAspect="1"/>
        </xdr:cNvPicPr>
      </xdr:nvPicPr>
      <xdr:blipFill>
        <a:blip xmlns:r="http://schemas.openxmlformats.org/officeDocument/2006/relationships" r:embed="rId4"/>
        <a:stretch>
          <a:fillRect/>
        </a:stretch>
      </xdr:blipFill>
      <xdr:spPr>
        <a:xfrm>
          <a:off x="2008878" y="3860800"/>
          <a:ext cx="5431065" cy="4731550"/>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oneCellAnchor>
    <xdr:from>
      <xdr:col>2</xdr:col>
      <xdr:colOff>476250</xdr:colOff>
      <xdr:row>20</xdr:row>
      <xdr:rowOff>107949</xdr:rowOff>
    </xdr:from>
    <xdr:ext cx="2067267" cy="2311401"/>
    <xdr:pic>
      <xdr:nvPicPr>
        <xdr:cNvPr id="2" name="Picture 1">
          <a:extLst>
            <a:ext uri="{FF2B5EF4-FFF2-40B4-BE49-F238E27FC236}">
              <a16:creationId xmlns:a16="http://schemas.microsoft.com/office/drawing/2014/main" id="{AD86B4DE-11BA-450A-8F36-4E46778506AE}"/>
            </a:ext>
          </a:extLst>
        </xdr:cNvPr>
        <xdr:cNvPicPr>
          <a:picLocks noChangeAspect="1"/>
        </xdr:cNvPicPr>
      </xdr:nvPicPr>
      <xdr:blipFill>
        <a:blip xmlns:r="http://schemas.openxmlformats.org/officeDocument/2006/relationships" r:embed="rId1"/>
        <a:stretch>
          <a:fillRect/>
        </a:stretch>
      </xdr:blipFill>
      <xdr:spPr>
        <a:xfrm>
          <a:off x="1695450" y="3790949"/>
          <a:ext cx="2067267" cy="2311401"/>
        </a:xfrm>
        <a:prstGeom prst="rect">
          <a:avLst/>
        </a:prstGeom>
      </xdr:spPr>
    </xdr:pic>
    <xdr:clientData/>
  </xdr:oneCellAnchor>
  <xdr:oneCellAnchor>
    <xdr:from>
      <xdr:col>5</xdr:col>
      <xdr:colOff>577850</xdr:colOff>
      <xdr:row>4</xdr:row>
      <xdr:rowOff>107950</xdr:rowOff>
    </xdr:from>
    <xdr:ext cx="2648327" cy="1116376"/>
    <xdr:pic>
      <xdr:nvPicPr>
        <xdr:cNvPr id="3" name="Picture 2">
          <a:extLst>
            <a:ext uri="{FF2B5EF4-FFF2-40B4-BE49-F238E27FC236}">
              <a16:creationId xmlns:a16="http://schemas.microsoft.com/office/drawing/2014/main" id="{745B4C09-30BF-436D-A7D6-5BB38AFB7938}"/>
            </a:ext>
          </a:extLst>
        </xdr:cNvPr>
        <xdr:cNvPicPr>
          <a:picLocks noChangeAspect="1"/>
        </xdr:cNvPicPr>
      </xdr:nvPicPr>
      <xdr:blipFill>
        <a:blip xmlns:r="http://schemas.openxmlformats.org/officeDocument/2006/relationships" r:embed="rId2"/>
        <a:stretch>
          <a:fillRect/>
        </a:stretch>
      </xdr:blipFill>
      <xdr:spPr>
        <a:xfrm>
          <a:off x="3625850" y="844550"/>
          <a:ext cx="2648327" cy="1116376"/>
        </a:xfrm>
        <a:prstGeom prst="rect">
          <a:avLst/>
        </a:prstGeom>
      </xdr:spPr>
    </xdr:pic>
    <xdr:clientData/>
  </xdr:oneCellAnchor>
  <xdr:oneCellAnchor>
    <xdr:from>
      <xdr:col>2</xdr:col>
      <xdr:colOff>406401</xdr:colOff>
      <xdr:row>12</xdr:row>
      <xdr:rowOff>88818</xdr:rowOff>
    </xdr:from>
    <xdr:ext cx="6083300" cy="1251234"/>
    <xdr:pic>
      <xdr:nvPicPr>
        <xdr:cNvPr id="4" name="Picture 3">
          <a:extLst>
            <a:ext uri="{FF2B5EF4-FFF2-40B4-BE49-F238E27FC236}">
              <a16:creationId xmlns:a16="http://schemas.microsoft.com/office/drawing/2014/main" id="{B2DFFF18-05DE-411C-963E-8C393E3305A4}"/>
            </a:ext>
          </a:extLst>
        </xdr:cNvPr>
        <xdr:cNvPicPr>
          <a:picLocks noChangeAspect="1"/>
        </xdr:cNvPicPr>
      </xdr:nvPicPr>
      <xdr:blipFill>
        <a:blip xmlns:r="http://schemas.openxmlformats.org/officeDocument/2006/relationships" r:embed="rId3"/>
        <a:stretch>
          <a:fillRect/>
        </a:stretch>
      </xdr:blipFill>
      <xdr:spPr>
        <a:xfrm>
          <a:off x="1625601" y="2298618"/>
          <a:ext cx="6083300" cy="1251234"/>
        </a:xfrm>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oneCellAnchor>
    <xdr:from>
      <xdr:col>8</xdr:col>
      <xdr:colOff>419100</xdr:colOff>
      <xdr:row>0</xdr:row>
      <xdr:rowOff>0</xdr:rowOff>
    </xdr:from>
    <xdr:ext cx="4961995" cy="2308965"/>
    <xdr:pic>
      <xdr:nvPicPr>
        <xdr:cNvPr id="2" name="Picture 1">
          <a:extLst>
            <a:ext uri="{FF2B5EF4-FFF2-40B4-BE49-F238E27FC236}">
              <a16:creationId xmlns:a16="http://schemas.microsoft.com/office/drawing/2014/main" id="{68DC49B5-CA58-4F17-AF4B-4109065EDA06}"/>
            </a:ext>
          </a:extLst>
        </xdr:cNvPr>
        <xdr:cNvPicPr>
          <a:picLocks noChangeAspect="1"/>
        </xdr:cNvPicPr>
      </xdr:nvPicPr>
      <xdr:blipFill>
        <a:blip xmlns:r="http://schemas.openxmlformats.org/officeDocument/2006/relationships" r:embed="rId1"/>
        <a:stretch>
          <a:fillRect/>
        </a:stretch>
      </xdr:blipFill>
      <xdr:spPr>
        <a:xfrm>
          <a:off x="5295900" y="0"/>
          <a:ext cx="4961995" cy="2308965"/>
        </a:xfrm>
        <a:prstGeom prst="rect">
          <a:avLst/>
        </a:prstGeom>
      </xdr:spPr>
    </xdr:pic>
    <xdr:clientData/>
  </xdr:oneCellAnchor>
  <xdr:oneCellAnchor>
    <xdr:from>
      <xdr:col>2</xdr:col>
      <xdr:colOff>476250</xdr:colOff>
      <xdr:row>66</xdr:row>
      <xdr:rowOff>107949</xdr:rowOff>
    </xdr:from>
    <xdr:ext cx="2067267" cy="2311401"/>
    <xdr:pic>
      <xdr:nvPicPr>
        <xdr:cNvPr id="3" name="Picture 2">
          <a:extLst>
            <a:ext uri="{FF2B5EF4-FFF2-40B4-BE49-F238E27FC236}">
              <a16:creationId xmlns:a16="http://schemas.microsoft.com/office/drawing/2014/main" id="{17BE4DDF-EFB0-45CA-8C3E-E2255B8AC9E8}"/>
            </a:ext>
          </a:extLst>
        </xdr:cNvPr>
        <xdr:cNvPicPr>
          <a:picLocks noChangeAspect="1"/>
        </xdr:cNvPicPr>
      </xdr:nvPicPr>
      <xdr:blipFill>
        <a:blip xmlns:r="http://schemas.openxmlformats.org/officeDocument/2006/relationships" r:embed="rId2"/>
        <a:stretch>
          <a:fillRect/>
        </a:stretch>
      </xdr:blipFill>
      <xdr:spPr>
        <a:xfrm>
          <a:off x="1695450" y="12261849"/>
          <a:ext cx="2067267" cy="2311401"/>
        </a:xfrm>
        <a:prstGeom prst="rect">
          <a:avLst/>
        </a:prstGeom>
      </xdr:spPr>
    </xdr:pic>
    <xdr:clientData/>
  </xdr:oneCellAnchor>
  <xdr:oneCellAnchor>
    <xdr:from>
      <xdr:col>8</xdr:col>
      <xdr:colOff>412750</xdr:colOff>
      <xdr:row>23</xdr:row>
      <xdr:rowOff>133350</xdr:rowOff>
    </xdr:from>
    <xdr:ext cx="8916644" cy="5439534"/>
    <xdr:pic>
      <xdr:nvPicPr>
        <xdr:cNvPr id="4" name="Picture 3">
          <a:extLst>
            <a:ext uri="{FF2B5EF4-FFF2-40B4-BE49-F238E27FC236}">
              <a16:creationId xmlns:a16="http://schemas.microsoft.com/office/drawing/2014/main" id="{C1FEC13C-E631-44DB-9D73-558417A7BCD9}"/>
            </a:ext>
          </a:extLst>
        </xdr:cNvPr>
        <xdr:cNvPicPr>
          <a:picLocks noChangeAspect="1"/>
        </xdr:cNvPicPr>
      </xdr:nvPicPr>
      <xdr:blipFill>
        <a:blip xmlns:r="http://schemas.openxmlformats.org/officeDocument/2006/relationships" r:embed="rId3"/>
        <a:stretch>
          <a:fillRect/>
        </a:stretch>
      </xdr:blipFill>
      <xdr:spPr>
        <a:xfrm>
          <a:off x="6489700" y="4368800"/>
          <a:ext cx="8916644" cy="5439534"/>
        </a:xfrm>
        <a:prstGeom prst="rect">
          <a:avLst/>
        </a:prstGeom>
      </xdr:spPr>
    </xdr:pic>
    <xdr:clientData/>
  </xdr:oneCellAnchor>
  <xdr:twoCellAnchor editAs="oneCell">
    <xdr:from>
      <xdr:col>0</xdr:col>
      <xdr:colOff>0</xdr:colOff>
      <xdr:row>29</xdr:row>
      <xdr:rowOff>63500</xdr:rowOff>
    </xdr:from>
    <xdr:to>
      <xdr:col>13</xdr:col>
      <xdr:colOff>303192</xdr:colOff>
      <xdr:row>64</xdr:row>
      <xdr:rowOff>124802</xdr:rowOff>
    </xdr:to>
    <xdr:pic>
      <xdr:nvPicPr>
        <xdr:cNvPr id="5" name="Picture 4">
          <a:extLst>
            <a:ext uri="{FF2B5EF4-FFF2-40B4-BE49-F238E27FC236}">
              <a16:creationId xmlns:a16="http://schemas.microsoft.com/office/drawing/2014/main" id="{4C675085-353F-4281-A10E-50FB7F4A6C3B}"/>
            </a:ext>
          </a:extLst>
        </xdr:cNvPr>
        <xdr:cNvPicPr>
          <a:picLocks noChangeAspect="1"/>
        </xdr:cNvPicPr>
      </xdr:nvPicPr>
      <xdr:blipFill>
        <a:blip xmlns:r="http://schemas.openxmlformats.org/officeDocument/2006/relationships" r:embed="rId4"/>
        <a:stretch>
          <a:fillRect/>
        </a:stretch>
      </xdr:blipFill>
      <xdr:spPr>
        <a:xfrm>
          <a:off x="0" y="5403850"/>
          <a:ext cx="10259992" cy="6506552"/>
        </a:xfrm>
        <a:prstGeom prst="rect">
          <a:avLst/>
        </a:prstGeom>
      </xdr:spPr>
    </xdr:pic>
    <xdr:clientData/>
  </xdr:twoCellAnchor>
  <xdr:twoCellAnchor editAs="oneCell">
    <xdr:from>
      <xdr:col>7</xdr:col>
      <xdr:colOff>313765</xdr:colOff>
      <xdr:row>14</xdr:row>
      <xdr:rowOff>0</xdr:rowOff>
    </xdr:from>
    <xdr:to>
      <xdr:col>19</xdr:col>
      <xdr:colOff>345611</xdr:colOff>
      <xdr:row>45</xdr:row>
      <xdr:rowOff>59460</xdr:rowOff>
    </xdr:to>
    <xdr:pic>
      <xdr:nvPicPr>
        <xdr:cNvPr id="7" name="Picture 6">
          <a:extLst>
            <a:ext uri="{FF2B5EF4-FFF2-40B4-BE49-F238E27FC236}">
              <a16:creationId xmlns:a16="http://schemas.microsoft.com/office/drawing/2014/main" id="{D6827770-4875-4D58-BBBB-74EC06F48A34}"/>
            </a:ext>
          </a:extLst>
        </xdr:cNvPr>
        <xdr:cNvPicPr>
          <a:picLocks noChangeAspect="1"/>
        </xdr:cNvPicPr>
      </xdr:nvPicPr>
      <xdr:blipFill>
        <a:blip xmlns:r="http://schemas.openxmlformats.org/officeDocument/2006/relationships" r:embed="rId5"/>
        <a:stretch>
          <a:fillRect/>
        </a:stretch>
      </xdr:blipFill>
      <xdr:spPr>
        <a:xfrm>
          <a:off x="6626412" y="2614706"/>
          <a:ext cx="7382905" cy="584916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8</xdr:col>
      <xdr:colOff>463550</xdr:colOff>
      <xdr:row>0</xdr:row>
      <xdr:rowOff>0</xdr:rowOff>
    </xdr:from>
    <xdr:ext cx="4961995" cy="2308965"/>
    <xdr:pic>
      <xdr:nvPicPr>
        <xdr:cNvPr id="2" name="Picture 1">
          <a:extLst>
            <a:ext uri="{FF2B5EF4-FFF2-40B4-BE49-F238E27FC236}">
              <a16:creationId xmlns:a16="http://schemas.microsoft.com/office/drawing/2014/main" id="{EB5AE0F9-4B82-4E58-8099-509328FB9002}"/>
            </a:ext>
          </a:extLst>
        </xdr:cNvPr>
        <xdr:cNvPicPr>
          <a:picLocks noChangeAspect="1"/>
        </xdr:cNvPicPr>
      </xdr:nvPicPr>
      <xdr:blipFill>
        <a:blip xmlns:r="http://schemas.openxmlformats.org/officeDocument/2006/relationships" r:embed="rId1"/>
        <a:stretch>
          <a:fillRect/>
        </a:stretch>
      </xdr:blipFill>
      <xdr:spPr>
        <a:xfrm>
          <a:off x="5340350" y="0"/>
          <a:ext cx="4961995" cy="2308965"/>
        </a:xfrm>
        <a:prstGeom prst="rect">
          <a:avLst/>
        </a:prstGeom>
      </xdr:spPr>
    </xdr:pic>
    <xdr:clientData/>
  </xdr:oneCellAnchor>
  <xdr:oneCellAnchor>
    <xdr:from>
      <xdr:col>8</xdr:col>
      <xdr:colOff>488950</xdr:colOff>
      <xdr:row>4</xdr:row>
      <xdr:rowOff>0</xdr:rowOff>
    </xdr:from>
    <xdr:ext cx="3409950" cy="1872678"/>
    <xdr:pic>
      <xdr:nvPicPr>
        <xdr:cNvPr id="3" name="Picture 2">
          <a:extLst>
            <a:ext uri="{FF2B5EF4-FFF2-40B4-BE49-F238E27FC236}">
              <a16:creationId xmlns:a16="http://schemas.microsoft.com/office/drawing/2014/main" id="{B6B45654-FB22-4E4D-8137-8FAFA66FEC6E}"/>
            </a:ext>
          </a:extLst>
        </xdr:cNvPr>
        <xdr:cNvPicPr>
          <a:picLocks noChangeAspect="1"/>
        </xdr:cNvPicPr>
      </xdr:nvPicPr>
      <xdr:blipFill>
        <a:blip xmlns:r="http://schemas.openxmlformats.org/officeDocument/2006/relationships" r:embed="rId2"/>
        <a:stretch>
          <a:fillRect/>
        </a:stretch>
      </xdr:blipFill>
      <xdr:spPr>
        <a:xfrm>
          <a:off x="5365750" y="736600"/>
          <a:ext cx="3409950" cy="1872678"/>
        </a:xfrm>
        <a:prstGeom prst="rect">
          <a:avLst/>
        </a:prstGeom>
      </xdr:spPr>
    </xdr:pic>
    <xdr:clientData/>
  </xdr:oneCellAnchor>
  <xdr:oneCellAnchor>
    <xdr:from>
      <xdr:col>9</xdr:col>
      <xdr:colOff>203200</xdr:colOff>
      <xdr:row>9</xdr:row>
      <xdr:rowOff>177800</xdr:rowOff>
    </xdr:from>
    <xdr:ext cx="3709369" cy="2809974"/>
    <xdr:pic>
      <xdr:nvPicPr>
        <xdr:cNvPr id="4" name="Picture 3">
          <a:extLst>
            <a:ext uri="{FF2B5EF4-FFF2-40B4-BE49-F238E27FC236}">
              <a16:creationId xmlns:a16="http://schemas.microsoft.com/office/drawing/2014/main" id="{7C9869B1-A21A-47B3-9D88-ACD9CE77ED56}"/>
            </a:ext>
          </a:extLst>
        </xdr:cNvPr>
        <xdr:cNvPicPr>
          <a:picLocks noChangeAspect="1"/>
        </xdr:cNvPicPr>
      </xdr:nvPicPr>
      <xdr:blipFill>
        <a:blip xmlns:r="http://schemas.openxmlformats.org/officeDocument/2006/relationships" r:embed="rId3"/>
        <a:stretch>
          <a:fillRect/>
        </a:stretch>
      </xdr:blipFill>
      <xdr:spPr>
        <a:xfrm>
          <a:off x="5689600" y="1835150"/>
          <a:ext cx="3709369" cy="2809974"/>
        </a:xfrm>
        <a:prstGeom prst="rect">
          <a:avLst/>
        </a:prstGeom>
      </xdr:spPr>
    </xdr:pic>
    <xdr:clientData/>
  </xdr:oneCellAnchor>
  <xdr:oneCellAnchor>
    <xdr:from>
      <xdr:col>2</xdr:col>
      <xdr:colOff>406401</xdr:colOff>
      <xdr:row>48</xdr:row>
      <xdr:rowOff>88818</xdr:rowOff>
    </xdr:from>
    <xdr:ext cx="6083300" cy="1251234"/>
    <xdr:pic>
      <xdr:nvPicPr>
        <xdr:cNvPr id="6" name="Picture 5">
          <a:extLst>
            <a:ext uri="{FF2B5EF4-FFF2-40B4-BE49-F238E27FC236}">
              <a16:creationId xmlns:a16="http://schemas.microsoft.com/office/drawing/2014/main" id="{A2F82272-0EAE-466F-A746-B045A3243930}"/>
            </a:ext>
          </a:extLst>
        </xdr:cNvPr>
        <xdr:cNvPicPr>
          <a:picLocks noChangeAspect="1"/>
        </xdr:cNvPicPr>
      </xdr:nvPicPr>
      <xdr:blipFill>
        <a:blip xmlns:r="http://schemas.openxmlformats.org/officeDocument/2006/relationships" r:embed="rId4"/>
        <a:stretch>
          <a:fillRect/>
        </a:stretch>
      </xdr:blipFill>
      <xdr:spPr>
        <a:xfrm>
          <a:off x="1625601" y="8928018"/>
          <a:ext cx="6083300" cy="1251234"/>
        </a:xfrm>
        <a:prstGeom prst="rect">
          <a:avLst/>
        </a:prstGeom>
      </xdr:spPr>
    </xdr:pic>
    <xdr:clientData/>
  </xdr:oneCellAnchor>
  <xdr:oneCellAnchor>
    <xdr:from>
      <xdr:col>8</xdr:col>
      <xdr:colOff>0</xdr:colOff>
      <xdr:row>27</xdr:row>
      <xdr:rowOff>0</xdr:rowOff>
    </xdr:from>
    <xdr:ext cx="4908550" cy="993320"/>
    <xdr:pic>
      <xdr:nvPicPr>
        <xdr:cNvPr id="7" name="Picture 6">
          <a:extLst>
            <a:ext uri="{FF2B5EF4-FFF2-40B4-BE49-F238E27FC236}">
              <a16:creationId xmlns:a16="http://schemas.microsoft.com/office/drawing/2014/main" id="{6ADABB8B-093D-402B-ACA0-41074D1C603F}"/>
            </a:ext>
          </a:extLst>
        </xdr:cNvPr>
        <xdr:cNvPicPr>
          <a:picLocks noChangeAspect="1"/>
        </xdr:cNvPicPr>
      </xdr:nvPicPr>
      <xdr:blipFill>
        <a:blip xmlns:r="http://schemas.openxmlformats.org/officeDocument/2006/relationships" r:embed="rId5"/>
        <a:stretch>
          <a:fillRect/>
        </a:stretch>
      </xdr:blipFill>
      <xdr:spPr>
        <a:xfrm>
          <a:off x="4876800" y="4972050"/>
          <a:ext cx="4908550" cy="993320"/>
        </a:xfrm>
        <a:prstGeom prst="rect">
          <a:avLst/>
        </a:prstGeom>
      </xdr:spPr>
    </xdr:pic>
    <xdr:clientData/>
  </xdr:oneCellAnchor>
  <xdr:twoCellAnchor editAs="oneCell">
    <xdr:from>
      <xdr:col>9</xdr:col>
      <xdr:colOff>0</xdr:colOff>
      <xdr:row>34</xdr:row>
      <xdr:rowOff>0</xdr:rowOff>
    </xdr:from>
    <xdr:to>
      <xdr:col>17</xdr:col>
      <xdr:colOff>295997</xdr:colOff>
      <xdr:row>68</xdr:row>
      <xdr:rowOff>83435</xdr:rowOff>
    </xdr:to>
    <xdr:pic>
      <xdr:nvPicPr>
        <xdr:cNvPr id="8" name="Picture 7">
          <a:extLst>
            <a:ext uri="{FF2B5EF4-FFF2-40B4-BE49-F238E27FC236}">
              <a16:creationId xmlns:a16="http://schemas.microsoft.com/office/drawing/2014/main" id="{85812A03-70B0-4B81-8ABD-DB279FE7A2F3}"/>
            </a:ext>
          </a:extLst>
        </xdr:cNvPr>
        <xdr:cNvPicPr>
          <a:picLocks noChangeAspect="1"/>
        </xdr:cNvPicPr>
      </xdr:nvPicPr>
      <xdr:blipFill>
        <a:blip xmlns:r="http://schemas.openxmlformats.org/officeDocument/2006/relationships" r:embed="rId6"/>
        <a:stretch>
          <a:fillRect/>
        </a:stretch>
      </xdr:blipFill>
      <xdr:spPr>
        <a:xfrm>
          <a:off x="6686550" y="6261100"/>
          <a:ext cx="5172797" cy="634453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69851</xdr:colOff>
      <xdr:row>44</xdr:row>
      <xdr:rowOff>6350</xdr:rowOff>
    </xdr:from>
    <xdr:to>
      <xdr:col>10</xdr:col>
      <xdr:colOff>589388</xdr:colOff>
      <xdr:row>65</xdr:row>
      <xdr:rowOff>102424</xdr:rowOff>
    </xdr:to>
    <xdr:pic>
      <xdr:nvPicPr>
        <xdr:cNvPr id="2" name="Picture 1">
          <a:extLst>
            <a:ext uri="{FF2B5EF4-FFF2-40B4-BE49-F238E27FC236}">
              <a16:creationId xmlns:a16="http://schemas.microsoft.com/office/drawing/2014/main" id="{BD464DF8-46F9-4D7A-80EA-795281B72B65}"/>
            </a:ext>
          </a:extLst>
        </xdr:cNvPr>
        <xdr:cNvPicPr>
          <a:picLocks noChangeAspect="1"/>
        </xdr:cNvPicPr>
      </xdr:nvPicPr>
      <xdr:blipFill>
        <a:blip xmlns:r="http://schemas.openxmlformats.org/officeDocument/2006/relationships" r:embed="rId1"/>
        <a:stretch>
          <a:fillRect/>
        </a:stretch>
      </xdr:blipFill>
      <xdr:spPr>
        <a:xfrm>
          <a:off x="6972301" y="190500"/>
          <a:ext cx="3662787" cy="3963224"/>
        </a:xfrm>
        <a:prstGeom prst="rect">
          <a:avLst/>
        </a:prstGeom>
      </xdr:spPr>
    </xdr:pic>
    <xdr:clientData/>
  </xdr:twoCellAnchor>
  <xdr:twoCellAnchor editAs="oneCell">
    <xdr:from>
      <xdr:col>0</xdr:col>
      <xdr:colOff>0</xdr:colOff>
      <xdr:row>95</xdr:row>
      <xdr:rowOff>171450</xdr:rowOff>
    </xdr:from>
    <xdr:to>
      <xdr:col>2</xdr:col>
      <xdr:colOff>913385</xdr:colOff>
      <xdr:row>116</xdr:row>
      <xdr:rowOff>146050</xdr:rowOff>
    </xdr:to>
    <xdr:pic>
      <xdr:nvPicPr>
        <xdr:cNvPr id="3" name="Picture 2">
          <a:extLst>
            <a:ext uri="{FF2B5EF4-FFF2-40B4-BE49-F238E27FC236}">
              <a16:creationId xmlns:a16="http://schemas.microsoft.com/office/drawing/2014/main" id="{C73EF1DB-3B29-47CC-AF28-697E1538B156}"/>
            </a:ext>
          </a:extLst>
        </xdr:cNvPr>
        <xdr:cNvPicPr>
          <a:picLocks noChangeAspect="1"/>
        </xdr:cNvPicPr>
      </xdr:nvPicPr>
      <xdr:blipFill>
        <a:blip xmlns:r="http://schemas.openxmlformats.org/officeDocument/2006/relationships" r:embed="rId2"/>
        <a:stretch>
          <a:fillRect/>
        </a:stretch>
      </xdr:blipFill>
      <xdr:spPr>
        <a:xfrm>
          <a:off x="0" y="11036300"/>
          <a:ext cx="4647185" cy="3841750"/>
        </a:xfrm>
        <a:prstGeom prst="rect">
          <a:avLst/>
        </a:prstGeom>
      </xdr:spPr>
    </xdr:pic>
    <xdr:clientData/>
  </xdr:twoCellAnchor>
  <xdr:twoCellAnchor editAs="oneCell">
    <xdr:from>
      <xdr:col>0</xdr:col>
      <xdr:colOff>0</xdr:colOff>
      <xdr:row>141</xdr:row>
      <xdr:rowOff>0</xdr:rowOff>
    </xdr:from>
    <xdr:to>
      <xdr:col>3</xdr:col>
      <xdr:colOff>262770</xdr:colOff>
      <xdr:row>155</xdr:row>
      <xdr:rowOff>577</xdr:rowOff>
    </xdr:to>
    <xdr:pic>
      <xdr:nvPicPr>
        <xdr:cNvPr id="5" name="Picture 4">
          <a:extLst>
            <a:ext uri="{FF2B5EF4-FFF2-40B4-BE49-F238E27FC236}">
              <a16:creationId xmlns:a16="http://schemas.microsoft.com/office/drawing/2014/main" id="{25224923-4CA4-4955-BECA-B7655F005C28}"/>
            </a:ext>
          </a:extLst>
        </xdr:cNvPr>
        <xdr:cNvPicPr>
          <a:picLocks noChangeAspect="1"/>
        </xdr:cNvPicPr>
      </xdr:nvPicPr>
      <xdr:blipFill>
        <a:blip xmlns:r="http://schemas.openxmlformats.org/officeDocument/2006/relationships" r:embed="rId3"/>
        <a:stretch>
          <a:fillRect/>
        </a:stretch>
      </xdr:blipFill>
      <xdr:spPr>
        <a:xfrm>
          <a:off x="0" y="15100300"/>
          <a:ext cx="5323720" cy="2578677"/>
        </a:xfrm>
        <a:prstGeom prst="rect">
          <a:avLst/>
        </a:prstGeom>
      </xdr:spPr>
    </xdr:pic>
    <xdr:clientData/>
  </xdr:twoCellAnchor>
  <xdr:twoCellAnchor editAs="oneCell">
    <xdr:from>
      <xdr:col>2</xdr:col>
      <xdr:colOff>1208216</xdr:colOff>
      <xdr:row>97</xdr:row>
      <xdr:rowOff>19050</xdr:rowOff>
    </xdr:from>
    <xdr:to>
      <xdr:col>11</xdr:col>
      <xdr:colOff>432989</xdr:colOff>
      <xdr:row>112</xdr:row>
      <xdr:rowOff>156116</xdr:rowOff>
    </xdr:to>
    <xdr:pic>
      <xdr:nvPicPr>
        <xdr:cNvPr id="6" name="Picture 5">
          <a:extLst>
            <a:ext uri="{FF2B5EF4-FFF2-40B4-BE49-F238E27FC236}">
              <a16:creationId xmlns:a16="http://schemas.microsoft.com/office/drawing/2014/main" id="{47950279-D262-4E5F-AE80-11A18D381C1E}"/>
            </a:ext>
          </a:extLst>
        </xdr:cNvPr>
        <xdr:cNvPicPr>
          <a:picLocks noChangeAspect="1"/>
        </xdr:cNvPicPr>
      </xdr:nvPicPr>
      <xdr:blipFill>
        <a:blip xmlns:r="http://schemas.openxmlformats.org/officeDocument/2006/relationships" r:embed="rId4"/>
        <a:stretch>
          <a:fillRect/>
        </a:stretch>
      </xdr:blipFill>
      <xdr:spPr>
        <a:xfrm>
          <a:off x="4942016" y="11804650"/>
          <a:ext cx="6368523" cy="289931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mdeng/Dropbox%20(Energy%20Innovation)/Documents/Energy%20Policy%20Simulator/California/3.0%20Update/Data%20Sources/trans/BNVP/BAU%20New%20Vehicle%20Price_US%20for%20reference.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mdeng/Dropbox%20(Energy%20Innovation)/Documents/Energy%20Policy%20Simulator/California/3.0%20Update/Data%20Sources/trans/BNVP/e3_cn_final_cost_data_supplement_oct202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bout"/>
      <sheetName val="AEO 39"/>
      <sheetName val="AEO 42"/>
      <sheetName val="AEO 53"/>
      <sheetName val="BEV and PHEV Price Calcs"/>
      <sheetName val="LDV Shares"/>
      <sheetName val="Hydrogen Vehicle Calcs"/>
      <sheetName val="Conventional Daycab Trucks"/>
      <sheetName val="Conventional Sleeper Trucks"/>
      <sheetName val="Passenger Aircraft"/>
      <sheetName val="Ships"/>
      <sheetName val="Motorbikes"/>
      <sheetName val="BNVP-LDVs-psgr"/>
      <sheetName val="BNVP-LDVs-frgt"/>
      <sheetName val="BNVP-HDVs-psgr"/>
      <sheetName val="BNVP-HDVs-frgt"/>
      <sheetName val="BNVP-aircraft-psgr"/>
      <sheetName val="BNVP-aircraft-frgt"/>
      <sheetName val="BNVP-rail-psgr"/>
      <sheetName val="BNVP-rail-frgt"/>
      <sheetName val="BNVP-ships-psgr"/>
      <sheetName val="BNVP-ships-frgt"/>
      <sheetName val="BNVP-motorbikes-psgr"/>
      <sheetName val="BNVP-motorbikes-frgt"/>
    </sheetNames>
    <sheetDataSet>
      <sheetData sheetId="0">
        <row r="113">
          <cell r="A113">
            <v>0.91400000000000003</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Name val="Summary"/>
      <sheetName val="Electricity Decarbonization"/>
      <sheetName val="Industry Elec. - Boilers"/>
      <sheetName val="Industry Elec. - Process Heat"/>
      <sheetName val="Industry CCS - Process Heat"/>
      <sheetName val="Industry Hydrogen &amp; SNG"/>
      <sheetName val="MDV &amp; HDV Decarbonization"/>
      <sheetName val="DAC &amp; BECCS"/>
      <sheetName val="Fuel Costs - PATHWAYS"/>
      <sheetName val="Emission Factors - PATHWAYS"/>
      <sheetName val="Constants"/>
    </sheetNames>
    <sheetDataSet>
      <sheetData sheetId="0"/>
      <sheetData sheetId="1"/>
      <sheetData sheetId="2"/>
      <sheetData sheetId="3"/>
      <sheetData sheetId="4"/>
      <sheetData sheetId="5"/>
      <sheetData sheetId="6">
        <row r="13">
          <cell r="D13">
            <v>10.5</v>
          </cell>
        </row>
      </sheetData>
      <sheetData sheetId="7"/>
      <sheetData sheetId="8"/>
      <sheetData sheetId="9">
        <row r="7">
          <cell r="D7">
            <v>42.766231219576298</v>
          </cell>
        </row>
      </sheetData>
      <sheetData sheetId="10">
        <row r="7">
          <cell r="D7">
            <v>1.7765038912431299</v>
          </cell>
        </row>
      </sheetData>
      <sheetData sheetId="11">
        <row r="4">
          <cell r="D4">
            <v>3412.14</v>
          </cell>
        </row>
        <row r="7">
          <cell r="D7">
            <v>0.13450999999999999</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3.arb.ca.gov/regact/2019/act2019/isor.pdf" TargetMode="External"/><Relationship Id="rId7" Type="http://schemas.openxmlformats.org/officeDocument/2006/relationships/printerSettings" Target="../printerSettings/printerSettings1.bin"/><Relationship Id="rId2" Type="http://schemas.openxmlformats.org/officeDocument/2006/relationships/hyperlink" Target="https://ww2.arb.ca.gov/sites/default/files/2020-10/e3_cn_final_cost_data_supplement_oct2020.xlsx" TargetMode="External"/><Relationship Id="rId1" Type="http://schemas.openxmlformats.org/officeDocument/2006/relationships/hyperlink" Target="https://www.eesi.org/papers/view/fact-sheet-electric-buses-benefits-outweigh-costs" TargetMode="External"/><Relationship Id="rId6" Type="http://schemas.openxmlformats.org/officeDocument/2006/relationships/hyperlink" Target="https://theicct.org/sites/default/files/publications/EV_cost_2020_2030_20190401.pdf" TargetMode="External"/><Relationship Id="rId5" Type="http://schemas.openxmlformats.org/officeDocument/2006/relationships/hyperlink" Target="https://ww2.arb.ca.gov/sites/default/files/2020-10/e3_cn_final_cost_data_supplement_oct2020.xlsx" TargetMode="External"/><Relationship Id="rId4" Type="http://schemas.openxmlformats.org/officeDocument/2006/relationships/hyperlink" Target="https://ww3.arb.ca.gov/regact/2019/act2019/isor.pdf"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3" Type="http://schemas.openxmlformats.org/officeDocument/2006/relationships/hyperlink" Target="https://theicct.org/wp-content/uploads/2022/02/purchase-cost-ze-trucks-feb22-1.pdf" TargetMode="External"/><Relationship Id="rId7" Type="http://schemas.openxmlformats.org/officeDocument/2006/relationships/drawing" Target="../drawings/drawing9.xml"/><Relationship Id="rId2" Type="http://schemas.openxmlformats.org/officeDocument/2006/relationships/hyperlink" Target="https://theicct.org/wp-content/uploads/2022/02/purchase-cost-ze-trucks-feb22-1.pdf" TargetMode="External"/><Relationship Id="rId1" Type="http://schemas.openxmlformats.org/officeDocument/2006/relationships/hyperlink" Target="https://theicct.org/wp-content/uploads/2022/02/purchase-cost-ze-trucks-feb22-1.pdf" TargetMode="External"/><Relationship Id="rId6" Type="http://schemas.openxmlformats.org/officeDocument/2006/relationships/printerSettings" Target="../printerSettings/printerSettings7.bin"/><Relationship Id="rId5" Type="http://schemas.openxmlformats.org/officeDocument/2006/relationships/hyperlink" Target="https://theicct.org/wp-content/uploads/2022/01/Final-Report-eTruck-Virtual-Teardown-Public-Version.pdf" TargetMode="External"/><Relationship Id="rId4" Type="http://schemas.openxmlformats.org/officeDocument/2006/relationships/hyperlink" Target="https://theicct.org/wp-content/uploads/2022/02/purchase-cost-ze-trucks-feb22-1.pdf"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8.bin"/><Relationship Id="rId1" Type="http://schemas.openxmlformats.org/officeDocument/2006/relationships/hyperlink" Target="https://ww3.arb.ca.gov/regact/2019/act2019/isor.pdf"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s://ww2.arb.ca.gov/sites/default/files/2020-01/ACC%20MTR%20Summary_Ac.pdf" TargetMode="External"/></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about.bnef.com/blog/battery-pack-prices-fall-as-market-ramps-up-with-market-average-at-156-kwh-in-2019/" TargetMode="External"/><Relationship Id="rId1" Type="http://schemas.openxmlformats.org/officeDocument/2006/relationships/hyperlink" Target="https://about.bnef.com/blog/behind-scenes-take-lithium-ion-battery-prices/" TargetMode="External"/><Relationship Id="rId4"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7" tint="0.39997558519241921"/>
  </sheetPr>
  <dimension ref="A1:C225"/>
  <sheetViews>
    <sheetView topLeftCell="A205" zoomScale="85" zoomScaleNormal="85" workbookViewId="0">
      <selection activeCell="B228" sqref="B228"/>
    </sheetView>
  </sheetViews>
  <sheetFormatPr defaultRowHeight="14.5" x14ac:dyDescent="0.35"/>
  <cols>
    <col min="2" max="2" width="56.26953125" customWidth="1"/>
  </cols>
  <sheetData>
    <row r="1" spans="1:2" x14ac:dyDescent="0.35">
      <c r="A1" s="1" t="s">
        <v>21</v>
      </c>
    </row>
    <row r="3" spans="1:2" x14ac:dyDescent="0.35">
      <c r="A3" s="1" t="s">
        <v>22</v>
      </c>
      <c r="B3" s="2" t="s">
        <v>753</v>
      </c>
    </row>
    <row r="4" spans="1:2" s="74" customFormat="1" x14ac:dyDescent="0.35">
      <c r="B4" s="156" t="s">
        <v>948</v>
      </c>
    </row>
    <row r="5" spans="1:2" s="74" customFormat="1" x14ac:dyDescent="0.35">
      <c r="B5" s="5"/>
    </row>
    <row r="6" spans="1:2" x14ac:dyDescent="0.35">
      <c r="B6" s="5" t="s">
        <v>19</v>
      </c>
    </row>
    <row r="7" spans="1:2" x14ac:dyDescent="0.35">
      <c r="B7" s="7">
        <v>2019</v>
      </c>
    </row>
    <row r="8" spans="1:2" x14ac:dyDescent="0.35">
      <c r="B8" s="5" t="s">
        <v>547</v>
      </c>
    </row>
    <row r="9" spans="1:2" x14ac:dyDescent="0.35">
      <c r="B9" s="5" t="s">
        <v>20</v>
      </c>
    </row>
    <row r="10" spans="1:2" x14ac:dyDescent="0.35">
      <c r="B10" s="5" t="s">
        <v>543</v>
      </c>
    </row>
    <row r="11" spans="1:2" x14ac:dyDescent="0.35">
      <c r="B11" s="5"/>
    </row>
    <row r="12" spans="1:2" s="74" customFormat="1" x14ac:dyDescent="0.35">
      <c r="B12" s="74" t="s">
        <v>881</v>
      </c>
    </row>
    <row r="13" spans="1:2" s="74" customFormat="1" x14ac:dyDescent="0.35">
      <c r="B13" s="74" t="s">
        <v>774</v>
      </c>
    </row>
    <row r="14" spans="1:2" s="74" customFormat="1" x14ac:dyDescent="0.35">
      <c r="B14" s="71">
        <v>2019</v>
      </c>
    </row>
    <row r="15" spans="1:2" s="74" customFormat="1" x14ac:dyDescent="0.35">
      <c r="B15" s="13" t="s">
        <v>775</v>
      </c>
    </row>
    <row r="16" spans="1:2" s="74" customFormat="1" x14ac:dyDescent="0.35">
      <c r="B16" s="109" t="s">
        <v>880</v>
      </c>
    </row>
    <row r="17" spans="2:2" s="74" customFormat="1" x14ac:dyDescent="0.35">
      <c r="B17" s="5"/>
    </row>
    <row r="18" spans="2:2" x14ac:dyDescent="0.35">
      <c r="B18" s="2" t="s">
        <v>754</v>
      </c>
    </row>
    <row r="19" spans="2:2" s="74" customFormat="1" x14ac:dyDescent="0.35">
      <c r="B19" s="157" t="s">
        <v>947</v>
      </c>
    </row>
    <row r="20" spans="2:2" s="74" customFormat="1" x14ac:dyDescent="0.35">
      <c r="B20" s="5"/>
    </row>
    <row r="21" spans="2:2" x14ac:dyDescent="0.35">
      <c r="B21" s="5" t="s">
        <v>748</v>
      </c>
    </row>
    <row r="22" spans="2:2" x14ac:dyDescent="0.35">
      <c r="B22" s="7">
        <v>2019</v>
      </c>
    </row>
    <row r="23" spans="2:2" x14ac:dyDescent="0.35">
      <c r="B23" s="5" t="s">
        <v>749</v>
      </c>
    </row>
    <row r="24" spans="2:2" x14ac:dyDescent="0.35">
      <c r="B24" s="64" t="s">
        <v>722</v>
      </c>
    </row>
    <row r="25" spans="2:2" x14ac:dyDescent="0.35">
      <c r="B25" s="5" t="s">
        <v>750</v>
      </c>
    </row>
    <row r="26" spans="2:2" x14ac:dyDescent="0.35">
      <c r="B26" s="5"/>
    </row>
    <row r="27" spans="2:2" x14ac:dyDescent="0.35">
      <c r="B27" s="5" t="s">
        <v>715</v>
      </c>
    </row>
    <row r="28" spans="2:2" x14ac:dyDescent="0.35">
      <c r="B28" s="7">
        <v>2020</v>
      </c>
    </row>
    <row r="29" spans="2:2" x14ac:dyDescent="0.35">
      <c r="B29" s="5" t="s">
        <v>716</v>
      </c>
    </row>
    <row r="30" spans="2:2" x14ac:dyDescent="0.35">
      <c r="B30" s="13" t="s">
        <v>717</v>
      </c>
    </row>
    <row r="31" spans="2:2" x14ac:dyDescent="0.35">
      <c r="B31" s="5" t="s">
        <v>718</v>
      </c>
    </row>
    <row r="32" spans="2:2" x14ac:dyDescent="0.35">
      <c r="B32" s="5"/>
    </row>
    <row r="33" spans="2:2" x14ac:dyDescent="0.35">
      <c r="B33" s="15" t="s">
        <v>755</v>
      </c>
    </row>
    <row r="34" spans="2:2" x14ac:dyDescent="0.35">
      <c r="B34" s="14" t="s">
        <v>562</v>
      </c>
    </row>
    <row r="35" spans="2:2" x14ac:dyDescent="0.35">
      <c r="B35" s="16">
        <v>2018</v>
      </c>
    </row>
    <row r="36" spans="2:2" x14ac:dyDescent="0.35">
      <c r="B36" t="s">
        <v>563</v>
      </c>
    </row>
    <row r="37" spans="2:2" x14ac:dyDescent="0.35">
      <c r="B37" s="13" t="s">
        <v>564</v>
      </c>
    </row>
    <row r="39" spans="2:2" x14ac:dyDescent="0.35">
      <c r="B39" s="2" t="s">
        <v>756</v>
      </c>
    </row>
    <row r="40" spans="2:2" s="74" customFormat="1" x14ac:dyDescent="0.35">
      <c r="B40" s="157" t="s">
        <v>947</v>
      </c>
    </row>
    <row r="41" spans="2:2" s="74" customFormat="1" x14ac:dyDescent="0.35">
      <c r="B41" s="5"/>
    </row>
    <row r="42" spans="2:2" x14ac:dyDescent="0.35">
      <c r="B42" s="5" t="s">
        <v>748</v>
      </c>
    </row>
    <row r="43" spans="2:2" x14ac:dyDescent="0.35">
      <c r="B43" s="7">
        <v>2019</v>
      </c>
    </row>
    <row r="44" spans="2:2" x14ac:dyDescent="0.35">
      <c r="B44" s="5" t="s">
        <v>749</v>
      </c>
    </row>
    <row r="45" spans="2:2" x14ac:dyDescent="0.35">
      <c r="B45" s="64" t="s">
        <v>722</v>
      </c>
    </row>
    <row r="46" spans="2:2" x14ac:dyDescent="0.35">
      <c r="B46" s="5" t="s">
        <v>750</v>
      </c>
    </row>
    <row r="48" spans="2:2" x14ac:dyDescent="0.35">
      <c r="B48" s="5" t="s">
        <v>715</v>
      </c>
    </row>
    <row r="49" spans="2:2" x14ac:dyDescent="0.35">
      <c r="B49" s="7">
        <v>2020</v>
      </c>
    </row>
    <row r="50" spans="2:2" x14ac:dyDescent="0.35">
      <c r="B50" s="5" t="s">
        <v>716</v>
      </c>
    </row>
    <row r="51" spans="2:2" x14ac:dyDescent="0.35">
      <c r="B51" s="13" t="s">
        <v>717</v>
      </c>
    </row>
    <row r="52" spans="2:2" x14ac:dyDescent="0.35">
      <c r="B52" s="5" t="s">
        <v>718</v>
      </c>
    </row>
    <row r="54" spans="2:2" x14ac:dyDescent="0.35">
      <c r="B54" s="15" t="s">
        <v>8</v>
      </c>
    </row>
    <row r="55" spans="2:2" x14ac:dyDescent="0.35">
      <c r="B55" s="14" t="s">
        <v>304</v>
      </c>
    </row>
    <row r="56" spans="2:2" x14ac:dyDescent="0.35">
      <c r="B56" s="16">
        <v>2012</v>
      </c>
    </row>
    <row r="57" spans="2:2" x14ac:dyDescent="0.35">
      <c r="B57" s="14" t="s">
        <v>305</v>
      </c>
    </row>
    <row r="58" spans="2:2" ht="29" x14ac:dyDescent="0.35">
      <c r="B58" s="14" t="s">
        <v>306</v>
      </c>
    </row>
    <row r="59" spans="2:2" x14ac:dyDescent="0.35">
      <c r="B59" s="14"/>
    </row>
    <row r="60" spans="2:2" x14ac:dyDescent="0.35">
      <c r="B60" s="15" t="s">
        <v>318</v>
      </c>
    </row>
    <row r="61" spans="2:2" x14ac:dyDescent="0.35">
      <c r="B61" s="14" t="s">
        <v>307</v>
      </c>
    </row>
    <row r="62" spans="2:2" x14ac:dyDescent="0.35">
      <c r="B62" s="16">
        <v>2014</v>
      </c>
    </row>
    <row r="63" spans="2:2" x14ac:dyDescent="0.35">
      <c r="B63" s="14" t="s">
        <v>308</v>
      </c>
    </row>
    <row r="64" spans="2:2" ht="29" x14ac:dyDescent="0.35">
      <c r="B64" s="14" t="s">
        <v>309</v>
      </c>
    </row>
    <row r="65" spans="1:2" x14ac:dyDescent="0.35">
      <c r="B65" s="14" t="s">
        <v>310</v>
      </c>
    </row>
    <row r="66" spans="1:2" x14ac:dyDescent="0.35">
      <c r="B66" s="14"/>
    </row>
    <row r="67" spans="1:2" x14ac:dyDescent="0.35">
      <c r="B67" s="2" t="s">
        <v>10</v>
      </c>
    </row>
    <row r="68" spans="1:2" x14ac:dyDescent="0.35">
      <c r="B68" s="6" t="s">
        <v>362</v>
      </c>
    </row>
    <row r="70" spans="1:2" x14ac:dyDescent="0.35">
      <c r="B70" s="15" t="s">
        <v>11</v>
      </c>
    </row>
    <row r="71" spans="1:2" x14ac:dyDescent="0.35">
      <c r="B71" s="14" t="s">
        <v>311</v>
      </c>
    </row>
    <row r="72" spans="1:2" x14ac:dyDescent="0.35">
      <c r="B72" s="16">
        <v>2016</v>
      </c>
    </row>
    <row r="73" spans="1:2" x14ac:dyDescent="0.35">
      <c r="B73" s="14" t="s">
        <v>312</v>
      </c>
    </row>
    <row r="74" spans="1:2" ht="29" x14ac:dyDescent="0.35">
      <c r="B74" s="14" t="s">
        <v>313</v>
      </c>
    </row>
    <row r="76" spans="1:2" x14ac:dyDescent="0.35">
      <c r="A76" s="1" t="s">
        <v>5</v>
      </c>
    </row>
    <row r="77" spans="1:2" s="74" customFormat="1" x14ac:dyDescent="0.35">
      <c r="A77" s="17" t="s">
        <v>873</v>
      </c>
    </row>
    <row r="78" spans="1:2" s="74" customFormat="1" x14ac:dyDescent="0.35">
      <c r="A78" s="17" t="s">
        <v>874</v>
      </c>
    </row>
    <row r="80" spans="1:2" x14ac:dyDescent="0.35">
      <c r="A80" s="17" t="s">
        <v>871</v>
      </c>
    </row>
    <row r="81" spans="1:2" x14ac:dyDescent="0.35">
      <c r="A81" s="17" t="s">
        <v>872</v>
      </c>
    </row>
    <row r="82" spans="1:2" s="74" customFormat="1" x14ac:dyDescent="0.35"/>
    <row r="83" spans="1:2" s="74" customFormat="1" x14ac:dyDescent="0.35">
      <c r="A83" s="17" t="s">
        <v>875</v>
      </c>
    </row>
    <row r="84" spans="1:2" x14ac:dyDescent="0.35">
      <c r="A84" s="1"/>
    </row>
    <row r="85" spans="1:2" x14ac:dyDescent="0.35">
      <c r="A85" t="s">
        <v>23</v>
      </c>
    </row>
    <row r="86" spans="1:2" x14ac:dyDescent="0.35">
      <c r="A86" t="s">
        <v>24</v>
      </c>
    </row>
    <row r="87" spans="1:2" x14ac:dyDescent="0.35">
      <c r="A87" t="s">
        <v>25</v>
      </c>
    </row>
    <row r="88" spans="1:2" s="74" customFormat="1" x14ac:dyDescent="0.35"/>
    <row r="89" spans="1:2" s="74" customFormat="1" x14ac:dyDescent="0.35">
      <c r="A89" s="74" t="s">
        <v>869</v>
      </c>
    </row>
    <row r="90" spans="1:2" s="74" customFormat="1" x14ac:dyDescent="0.35">
      <c r="B90" s="74" t="s">
        <v>867</v>
      </c>
    </row>
    <row r="91" spans="1:2" s="74" customFormat="1" x14ac:dyDescent="0.35">
      <c r="B91" s="74" t="s">
        <v>868</v>
      </c>
    </row>
    <row r="92" spans="1:2" s="74" customFormat="1" x14ac:dyDescent="0.35">
      <c r="B92" s="74" t="s">
        <v>870</v>
      </c>
    </row>
    <row r="93" spans="1:2" s="74" customFormat="1" x14ac:dyDescent="0.35">
      <c r="A93">
        <v>0</v>
      </c>
      <c r="B93" t="s">
        <v>887</v>
      </c>
    </row>
    <row r="94" spans="1:2" s="74" customFormat="1" x14ac:dyDescent="0.35"/>
    <row r="95" spans="1:2" x14ac:dyDescent="0.35">
      <c r="A95" s="1" t="s">
        <v>6</v>
      </c>
    </row>
    <row r="96" spans="1:2" x14ac:dyDescent="0.35">
      <c r="A96" t="s">
        <v>539</v>
      </c>
    </row>
    <row r="97" spans="1:2" x14ac:dyDescent="0.35">
      <c r="A97" t="s">
        <v>540</v>
      </c>
    </row>
    <row r="99" spans="1:2" x14ac:dyDescent="0.35">
      <c r="A99" t="s">
        <v>381</v>
      </c>
    </row>
    <row r="100" spans="1:2" x14ac:dyDescent="0.35">
      <c r="A100" t="s">
        <v>382</v>
      </c>
    </row>
    <row r="102" spans="1:2" x14ac:dyDescent="0.35">
      <c r="A102" t="s">
        <v>254</v>
      </c>
    </row>
    <row r="103" spans="1:2" x14ac:dyDescent="0.35">
      <c r="A103" t="s">
        <v>255</v>
      </c>
    </row>
    <row r="104" spans="1:2" x14ac:dyDescent="0.35">
      <c r="A104" t="s">
        <v>541</v>
      </c>
    </row>
    <row r="105" spans="1:2" x14ac:dyDescent="0.35">
      <c r="A105" t="s">
        <v>542</v>
      </c>
    </row>
    <row r="107" spans="1:2" ht="14.25" customHeight="1" x14ac:dyDescent="0.35">
      <c r="A107" s="65" t="s">
        <v>752</v>
      </c>
      <c r="B107" s="65"/>
    </row>
    <row r="108" spans="1:2" ht="14.25" customHeight="1" x14ac:dyDescent="0.35">
      <c r="A108" s="65" t="s">
        <v>751</v>
      </c>
      <c r="B108" s="65"/>
    </row>
    <row r="109" spans="1:2" ht="14.25" customHeight="1" x14ac:dyDescent="0.35">
      <c r="A109" s="65"/>
      <c r="B109" s="65"/>
    </row>
    <row r="110" spans="1:2" x14ac:dyDescent="0.35">
      <c r="A110" s="5" t="s">
        <v>760</v>
      </c>
      <c r="B110" s="5"/>
    </row>
    <row r="111" spans="1:2" x14ac:dyDescent="0.35">
      <c r="A111" s="5" t="s">
        <v>761</v>
      </c>
      <c r="B111" s="5"/>
    </row>
    <row r="112" spans="1:2" x14ac:dyDescent="0.35">
      <c r="A112" s="5" t="s">
        <v>762</v>
      </c>
      <c r="B112" s="5"/>
    </row>
    <row r="113" spans="1:2" x14ac:dyDescent="0.35">
      <c r="A113" s="5" t="s">
        <v>763</v>
      </c>
      <c r="B113" s="5"/>
    </row>
    <row r="114" spans="1:2" x14ac:dyDescent="0.35">
      <c r="A114" s="5" t="s">
        <v>764</v>
      </c>
      <c r="B114" s="5"/>
    </row>
    <row r="115" spans="1:2" x14ac:dyDescent="0.35">
      <c r="A115" s="5"/>
      <c r="B115" s="5"/>
    </row>
    <row r="117" spans="1:2" x14ac:dyDescent="0.35">
      <c r="A117" s="1" t="s">
        <v>7</v>
      </c>
    </row>
    <row r="118" spans="1:2" x14ac:dyDescent="0.35">
      <c r="A118" s="17" t="s">
        <v>865</v>
      </c>
    </row>
    <row r="119" spans="1:2" x14ac:dyDescent="0.35">
      <c r="A119" s="17" t="s">
        <v>866</v>
      </c>
    </row>
    <row r="120" spans="1:2" x14ac:dyDescent="0.35">
      <c r="A120" s="17"/>
    </row>
    <row r="121" spans="1:2" x14ac:dyDescent="0.35">
      <c r="A121" s="5" t="s">
        <v>765</v>
      </c>
      <c r="B121" s="5"/>
    </row>
    <row r="122" spans="1:2" x14ac:dyDescent="0.35">
      <c r="A122" s="5" t="s">
        <v>761</v>
      </c>
      <c r="B122" s="5"/>
    </row>
    <row r="123" spans="1:2" x14ac:dyDescent="0.35">
      <c r="A123" s="5" t="s">
        <v>766</v>
      </c>
      <c r="B123" s="5"/>
    </row>
    <row r="124" spans="1:2" x14ac:dyDescent="0.35">
      <c r="A124" s="5" t="s">
        <v>767</v>
      </c>
      <c r="B124" s="5"/>
    </row>
    <row r="125" spans="1:2" x14ac:dyDescent="0.35">
      <c r="A125" s="5"/>
      <c r="B125" s="5"/>
    </row>
    <row r="126" spans="1:2" x14ac:dyDescent="0.35">
      <c r="A126" s="5" t="s">
        <v>768</v>
      </c>
      <c r="B126" s="5"/>
    </row>
    <row r="127" spans="1:2" x14ac:dyDescent="0.35">
      <c r="A127" s="5" t="s">
        <v>769</v>
      </c>
      <c r="B127" s="5"/>
    </row>
    <row r="128" spans="1:2" x14ac:dyDescent="0.35">
      <c r="A128" s="5" t="s">
        <v>770</v>
      </c>
      <c r="B128" s="5"/>
    </row>
    <row r="129" spans="1:2" x14ac:dyDescent="0.35">
      <c r="A129" s="5" t="s">
        <v>301</v>
      </c>
      <c r="B129" s="5"/>
    </row>
    <row r="130" spans="1:2" x14ac:dyDescent="0.35">
      <c r="A130" s="5"/>
      <c r="B130" s="5"/>
    </row>
    <row r="131" spans="1:2" x14ac:dyDescent="0.35">
      <c r="A131" s="5">
        <v>770000</v>
      </c>
      <c r="B131" s="5" t="s">
        <v>561</v>
      </c>
    </row>
    <row r="133" spans="1:2" x14ac:dyDescent="0.35">
      <c r="A133" s="1" t="s">
        <v>8</v>
      </c>
    </row>
    <row r="134" spans="1:2" x14ac:dyDescent="0.35">
      <c r="A134" t="s">
        <v>302</v>
      </c>
    </row>
    <row r="135" spans="1:2" x14ac:dyDescent="0.35">
      <c r="A135" t="s">
        <v>303</v>
      </c>
    </row>
    <row r="136" spans="1:2" x14ac:dyDescent="0.35">
      <c r="A136" t="s">
        <v>315</v>
      </c>
    </row>
    <row r="137" spans="1:2" x14ac:dyDescent="0.35">
      <c r="A137" t="s">
        <v>568</v>
      </c>
    </row>
    <row r="138" spans="1:2" x14ac:dyDescent="0.35">
      <c r="A138" t="s">
        <v>569</v>
      </c>
    </row>
    <row r="140" spans="1:2" x14ac:dyDescent="0.35">
      <c r="A140" s="1" t="s">
        <v>9</v>
      </c>
    </row>
    <row r="141" spans="1:2" x14ac:dyDescent="0.35">
      <c r="A141" t="s">
        <v>314</v>
      </c>
    </row>
    <row r="142" spans="1:2" x14ac:dyDescent="0.35">
      <c r="A142" t="s">
        <v>316</v>
      </c>
    </row>
    <row r="143" spans="1:2" x14ac:dyDescent="0.35">
      <c r="A143" t="s">
        <v>317</v>
      </c>
    </row>
    <row r="144" spans="1:2" x14ac:dyDescent="0.35">
      <c r="A144" t="s">
        <v>568</v>
      </c>
    </row>
    <row r="145" spans="1:1" x14ac:dyDescent="0.35">
      <c r="A145" t="s">
        <v>569</v>
      </c>
    </row>
    <row r="147" spans="1:1" x14ac:dyDescent="0.35">
      <c r="A147" s="1" t="s">
        <v>359</v>
      </c>
    </row>
    <row r="148" spans="1:1" x14ac:dyDescent="0.35">
      <c r="A148" t="s">
        <v>358</v>
      </c>
    </row>
    <row r="150" spans="1:1" x14ac:dyDescent="0.35">
      <c r="A150" s="1" t="s">
        <v>320</v>
      </c>
    </row>
    <row r="151" spans="1:1" x14ac:dyDescent="0.35">
      <c r="A151" t="s">
        <v>358</v>
      </c>
    </row>
    <row r="152" spans="1:1" x14ac:dyDescent="0.35">
      <c r="A152" s="17"/>
    </row>
    <row r="153" spans="1:1" x14ac:dyDescent="0.35">
      <c r="A153" s="1" t="s">
        <v>11</v>
      </c>
    </row>
    <row r="154" spans="1:1" x14ac:dyDescent="0.35">
      <c r="A154" s="17" t="s">
        <v>378</v>
      </c>
    </row>
    <row r="155" spans="1:1" x14ac:dyDescent="0.35">
      <c r="A155" s="17" t="s">
        <v>379</v>
      </c>
    </row>
    <row r="156" spans="1:1" x14ac:dyDescent="0.35">
      <c r="A156" s="17" t="s">
        <v>380</v>
      </c>
    </row>
    <row r="157" spans="1:1" x14ac:dyDescent="0.35">
      <c r="A157" s="17"/>
    </row>
    <row r="158" spans="1:1" x14ac:dyDescent="0.35">
      <c r="A158" s="1" t="s">
        <v>293</v>
      </c>
    </row>
    <row r="159" spans="1:1" x14ac:dyDescent="0.35">
      <c r="A159" t="s">
        <v>294</v>
      </c>
    </row>
    <row r="160" spans="1:1" x14ac:dyDescent="0.35">
      <c r="A160" t="s">
        <v>295</v>
      </c>
    </row>
    <row r="161" spans="1:2" x14ac:dyDescent="0.35">
      <c r="A161" t="s">
        <v>296</v>
      </c>
    </row>
    <row r="162" spans="1:2" x14ac:dyDescent="0.35">
      <c r="A162" t="s">
        <v>297</v>
      </c>
    </row>
    <row r="163" spans="1:2" x14ac:dyDescent="0.35">
      <c r="A163">
        <v>0.98699999999999999</v>
      </c>
      <c r="B163" t="s">
        <v>299</v>
      </c>
    </row>
    <row r="164" spans="1:2" x14ac:dyDescent="0.35">
      <c r="A164">
        <v>0.97099999999999997</v>
      </c>
      <c r="B164" t="s">
        <v>298</v>
      </c>
    </row>
    <row r="165" spans="1:2" x14ac:dyDescent="0.35">
      <c r="A165">
        <v>0.95299999999999996</v>
      </c>
      <c r="B165" t="s">
        <v>300</v>
      </c>
    </row>
    <row r="166" spans="1:2" x14ac:dyDescent="0.35">
      <c r="A166" s="21">
        <v>0.93665959530026111</v>
      </c>
      <c r="B166" t="s">
        <v>546</v>
      </c>
    </row>
    <row r="167" spans="1:2" x14ac:dyDescent="0.35">
      <c r="A167" s="21">
        <v>0.91400000000000003</v>
      </c>
      <c r="B167" t="s">
        <v>560</v>
      </c>
    </row>
    <row r="168" spans="1:2" x14ac:dyDescent="0.35">
      <c r="A168" s="21">
        <v>0.89805481563188172</v>
      </c>
      <c r="B168" t="s">
        <v>720</v>
      </c>
    </row>
    <row r="169" spans="1:2" x14ac:dyDescent="0.35">
      <c r="A169">
        <f>C218/270.97</f>
        <v>0.85004982101339621</v>
      </c>
      <c r="B169" t="s">
        <v>1351</v>
      </c>
    </row>
    <row r="170" spans="1:2" x14ac:dyDescent="0.35">
      <c r="A170">
        <f>270.29/C225</f>
        <v>1.0521091618237233</v>
      </c>
      <c r="B170" t="s">
        <v>1221</v>
      </c>
    </row>
    <row r="171" spans="1:2" x14ac:dyDescent="0.35">
      <c r="A171" t="s">
        <v>253</v>
      </c>
    </row>
    <row r="182" spans="1:3" x14ac:dyDescent="0.35">
      <c r="A182" s="1" t="s">
        <v>1222</v>
      </c>
      <c r="B182" s="74"/>
      <c r="C182" s="74"/>
    </row>
    <row r="183" spans="1:3" x14ac:dyDescent="0.35">
      <c r="A183" s="74" t="s">
        <v>1223</v>
      </c>
      <c r="B183" s="74"/>
      <c r="C183" s="74"/>
    </row>
    <row r="184" spans="1:3" x14ac:dyDescent="0.35">
      <c r="A184" s="74" t="s">
        <v>1224</v>
      </c>
      <c r="B184" s="74"/>
      <c r="C184" s="74"/>
    </row>
    <row r="185" spans="1:3" x14ac:dyDescent="0.35">
      <c r="A185" s="74" t="s">
        <v>1225</v>
      </c>
      <c r="B185" s="74"/>
      <c r="C185" s="74"/>
    </row>
    <row r="186" spans="1:3" x14ac:dyDescent="0.35">
      <c r="A186" s="74" t="s">
        <v>772</v>
      </c>
      <c r="B186" s="74" t="s">
        <v>1226</v>
      </c>
      <c r="C186" s="74"/>
    </row>
    <row r="187" spans="1:3" x14ac:dyDescent="0.35">
      <c r="A187" s="74"/>
      <c r="B187" s="74" t="s">
        <v>1227</v>
      </c>
      <c r="C187" s="74" t="s">
        <v>1228</v>
      </c>
    </row>
    <row r="188" spans="1:3" x14ac:dyDescent="0.35">
      <c r="A188" s="74" t="s">
        <v>1229</v>
      </c>
      <c r="B188" s="74" t="s">
        <v>1230</v>
      </c>
      <c r="C188" s="74" t="s">
        <v>1230</v>
      </c>
    </row>
    <row r="189" spans="1:3" x14ac:dyDescent="0.35">
      <c r="A189" s="74" t="s">
        <v>1231</v>
      </c>
      <c r="B189" s="74" t="s">
        <v>1230</v>
      </c>
      <c r="C189" s="74" t="s">
        <v>1230</v>
      </c>
    </row>
    <row r="190" spans="1:3" x14ac:dyDescent="0.35">
      <c r="A190" s="74" t="s">
        <v>1232</v>
      </c>
      <c r="B190" s="74">
        <v>102.9</v>
      </c>
      <c r="C190" s="74">
        <v>104.9</v>
      </c>
    </row>
    <row r="191" spans="1:3" x14ac:dyDescent="0.35">
      <c r="A191" s="74" t="s">
        <v>1233</v>
      </c>
      <c r="B191" s="74">
        <v>106.6</v>
      </c>
      <c r="C191" s="74">
        <v>108.5</v>
      </c>
    </row>
    <row r="192" spans="1:3" x14ac:dyDescent="0.35">
      <c r="A192" s="74" t="s">
        <v>1234</v>
      </c>
      <c r="B192" s="74">
        <v>109.1</v>
      </c>
      <c r="C192" s="74">
        <v>110.1</v>
      </c>
    </row>
    <row r="193" spans="1:3" x14ac:dyDescent="0.35">
      <c r="A193" s="74" t="s">
        <v>1235</v>
      </c>
      <c r="B193" s="74">
        <v>112.4</v>
      </c>
      <c r="C193" s="74">
        <v>114.9</v>
      </c>
    </row>
    <row r="194" spans="1:3" x14ac:dyDescent="0.35">
      <c r="A194" s="74" t="s">
        <v>1236</v>
      </c>
      <c r="B194" s="74">
        <v>116.8</v>
      </c>
      <c r="C194" s="74">
        <v>119.7</v>
      </c>
    </row>
    <row r="195" spans="1:3" x14ac:dyDescent="0.35">
      <c r="A195" s="74" t="s">
        <v>1237</v>
      </c>
      <c r="B195" s="74">
        <v>122.7</v>
      </c>
      <c r="C195" s="74">
        <v>125.3</v>
      </c>
    </row>
    <row r="196" spans="1:3" x14ac:dyDescent="0.35">
      <c r="A196" s="74" t="s">
        <v>1238</v>
      </c>
      <c r="B196" s="74">
        <v>128.69999999999999</v>
      </c>
      <c r="C196" s="74">
        <v>132.6</v>
      </c>
    </row>
    <row r="197" spans="1:3" x14ac:dyDescent="0.35">
      <c r="A197" s="74" t="s">
        <v>1239</v>
      </c>
      <c r="B197" s="74">
        <v>135.19999999999999</v>
      </c>
      <c r="C197" s="74">
        <v>137.19999999999999</v>
      </c>
    </row>
    <row r="198" spans="1:3" x14ac:dyDescent="0.35">
      <c r="A198" s="74" t="s">
        <v>1240</v>
      </c>
      <c r="B198" s="74">
        <v>139.19999999999999</v>
      </c>
      <c r="C198" s="74">
        <v>141.4</v>
      </c>
    </row>
    <row r="199" spans="1:3" x14ac:dyDescent="0.35">
      <c r="A199" s="74" t="s">
        <v>1241</v>
      </c>
      <c r="B199" s="74">
        <v>143.69999999999999</v>
      </c>
      <c r="C199" s="74">
        <v>145.30000000000001</v>
      </c>
    </row>
    <row r="200" spans="1:3" x14ac:dyDescent="0.35">
      <c r="A200" s="74" t="s">
        <v>1242</v>
      </c>
      <c r="B200" s="74">
        <v>147.19999999999999</v>
      </c>
      <c r="C200" s="74">
        <v>149.30000000000001</v>
      </c>
    </row>
    <row r="201" spans="1:3" x14ac:dyDescent="0.35">
      <c r="A201" s="74" t="s">
        <v>1243</v>
      </c>
      <c r="B201" s="74">
        <v>151.5</v>
      </c>
      <c r="C201" s="74">
        <v>153.19999999999999</v>
      </c>
    </row>
    <row r="202" spans="1:3" x14ac:dyDescent="0.35">
      <c r="A202" s="74" t="s">
        <v>1244</v>
      </c>
      <c r="B202" s="74">
        <v>155.80000000000001</v>
      </c>
      <c r="C202" s="74">
        <v>157.9</v>
      </c>
    </row>
    <row r="203" spans="1:3" x14ac:dyDescent="0.35">
      <c r="A203" s="74" t="s">
        <v>1245</v>
      </c>
      <c r="B203" s="74">
        <v>159.9</v>
      </c>
      <c r="C203" s="74">
        <v>161.19999999999999</v>
      </c>
    </row>
    <row r="204" spans="1:3" x14ac:dyDescent="0.35">
      <c r="A204" s="74" t="s">
        <v>1246</v>
      </c>
      <c r="B204" s="74">
        <v>162.30000000000001</v>
      </c>
      <c r="C204" s="74">
        <v>163.69999999999999</v>
      </c>
    </row>
    <row r="205" spans="1:3" x14ac:dyDescent="0.35">
      <c r="A205" s="74" t="s">
        <v>1247</v>
      </c>
      <c r="B205" s="74">
        <v>165.4</v>
      </c>
      <c r="C205" s="74">
        <v>167.8</v>
      </c>
    </row>
    <row r="206" spans="1:3" x14ac:dyDescent="0.35">
      <c r="A206" s="74" t="s">
        <v>1248</v>
      </c>
      <c r="B206" s="74">
        <v>170.8</v>
      </c>
      <c r="C206" s="74">
        <v>173.6</v>
      </c>
    </row>
    <row r="207" spans="1:3" x14ac:dyDescent="0.35">
      <c r="A207" s="74" t="s">
        <v>1249</v>
      </c>
      <c r="B207" s="74">
        <v>176.6</v>
      </c>
      <c r="C207" s="74">
        <v>177.5</v>
      </c>
    </row>
    <row r="208" spans="1:3" x14ac:dyDescent="0.35">
      <c r="A208" s="74" t="s">
        <v>1250</v>
      </c>
      <c r="B208" s="74">
        <v>178.9</v>
      </c>
      <c r="C208" s="74">
        <v>180.9</v>
      </c>
    </row>
    <row r="209" spans="1:3" x14ac:dyDescent="0.35">
      <c r="A209" s="74" t="s">
        <v>1251</v>
      </c>
      <c r="B209" s="74">
        <v>183.3</v>
      </c>
      <c r="C209" s="74">
        <v>184.6</v>
      </c>
    </row>
    <row r="210" spans="1:3" x14ac:dyDescent="0.35">
      <c r="A210" s="74" t="s">
        <v>1252</v>
      </c>
      <c r="B210" s="74">
        <v>187.6</v>
      </c>
      <c r="C210" s="74">
        <v>190.2</v>
      </c>
    </row>
    <row r="211" spans="1:3" x14ac:dyDescent="0.35">
      <c r="A211" s="74" t="s">
        <v>1253</v>
      </c>
      <c r="B211" s="74">
        <v>193.2</v>
      </c>
      <c r="C211" s="74">
        <v>197.4</v>
      </c>
    </row>
    <row r="212" spans="1:3" x14ac:dyDescent="0.35">
      <c r="A212" s="74" t="s">
        <v>1254</v>
      </c>
      <c r="B212" s="74">
        <v>200.6</v>
      </c>
      <c r="C212" s="74">
        <v>202.6</v>
      </c>
    </row>
    <row r="213" spans="1:3" x14ac:dyDescent="0.35">
      <c r="A213" s="74" t="s">
        <v>1255</v>
      </c>
      <c r="B213" s="74">
        <v>205.709</v>
      </c>
      <c r="C213" s="74">
        <v>208.976</v>
      </c>
    </row>
    <row r="214" spans="1:3" x14ac:dyDescent="0.35">
      <c r="A214" s="74" t="s">
        <v>1256</v>
      </c>
      <c r="B214" s="74">
        <v>214.429</v>
      </c>
      <c r="C214" s="74">
        <v>216.17699999999999</v>
      </c>
    </row>
    <row r="215" spans="1:3" x14ac:dyDescent="0.35">
      <c r="A215" s="74" t="s">
        <v>1257</v>
      </c>
      <c r="B215" s="74">
        <v>213.13900000000001</v>
      </c>
      <c r="C215" s="74">
        <v>215.935</v>
      </c>
    </row>
    <row r="216" spans="1:3" x14ac:dyDescent="0.35">
      <c r="A216" s="74" t="s">
        <v>1258</v>
      </c>
      <c r="B216" s="74">
        <v>217.535</v>
      </c>
      <c r="C216" s="74">
        <v>218.57599999999999</v>
      </c>
    </row>
    <row r="217" spans="1:3" x14ac:dyDescent="0.35">
      <c r="A217" s="74" t="s">
        <v>1259</v>
      </c>
      <c r="B217" s="74">
        <v>223.59800000000001</v>
      </c>
      <c r="C217" s="74">
        <v>226.28</v>
      </c>
    </row>
    <row r="218" spans="1:3" x14ac:dyDescent="0.35">
      <c r="A218" s="74" t="s">
        <v>1260</v>
      </c>
      <c r="B218" s="74">
        <v>228.85</v>
      </c>
      <c r="C218" s="74">
        <v>230.33799999999999</v>
      </c>
    </row>
    <row r="219" spans="1:3" x14ac:dyDescent="0.35">
      <c r="A219" s="74" t="s">
        <v>1261</v>
      </c>
      <c r="B219" s="74">
        <v>232.36600000000001</v>
      </c>
      <c r="C219" s="74">
        <v>233.548</v>
      </c>
    </row>
    <row r="220" spans="1:3" x14ac:dyDescent="0.35">
      <c r="A220" s="74" t="s">
        <v>1262</v>
      </c>
      <c r="B220" s="74">
        <v>236.38399999999999</v>
      </c>
      <c r="C220" s="74">
        <v>237.08799999999999</v>
      </c>
    </row>
    <row r="221" spans="1:3" x14ac:dyDescent="0.35">
      <c r="A221" s="74" t="s">
        <v>1263</v>
      </c>
      <c r="B221" s="74">
        <v>236.26499999999999</v>
      </c>
      <c r="C221" s="74">
        <v>237.76900000000001</v>
      </c>
    </row>
    <row r="222" spans="1:3" x14ac:dyDescent="0.35">
      <c r="A222" s="74" t="s">
        <v>1264</v>
      </c>
      <c r="B222" s="74">
        <v>238.77799999999999</v>
      </c>
      <c r="C222" s="74">
        <v>241.23699999999999</v>
      </c>
    </row>
    <row r="223" spans="1:3" x14ac:dyDescent="0.35">
      <c r="A223" s="74" t="s">
        <v>1265</v>
      </c>
      <c r="B223" s="74">
        <v>244.07599999999999</v>
      </c>
      <c r="C223" s="74">
        <v>246.16300000000001</v>
      </c>
    </row>
    <row r="224" spans="1:3" x14ac:dyDescent="0.35">
      <c r="A224" s="74" t="s">
        <v>1266</v>
      </c>
      <c r="B224" s="74">
        <v>250.089</v>
      </c>
      <c r="C224" s="74">
        <v>252.125</v>
      </c>
    </row>
    <row r="225" spans="1:3" x14ac:dyDescent="0.35">
      <c r="A225" s="74" t="s">
        <v>1267</v>
      </c>
      <c r="B225" s="74">
        <v>254.41200000000001</v>
      </c>
      <c r="C225" s="74">
        <v>256.90300000000002</v>
      </c>
    </row>
  </sheetData>
  <hyperlinks>
    <hyperlink ref="B37" r:id="rId1" xr:uid="{00000000-0004-0000-0000-000002000000}"/>
    <hyperlink ref="B30" r:id="rId2" xr:uid="{16DFABF4-ED63-4FB6-9F51-8A05232AEF3B}"/>
    <hyperlink ref="B24" r:id="rId3" xr:uid="{D483F825-AF9D-4914-BBC3-E51B075A6C39}"/>
    <hyperlink ref="B45" r:id="rId4" xr:uid="{5C5ED2C9-C263-4C3B-9CE7-03CBB2A00322}"/>
    <hyperlink ref="B51" r:id="rId5" xr:uid="{03B618E7-0C39-4D4D-BB67-8735E9064ADE}"/>
    <hyperlink ref="B15" r:id="rId6" xr:uid="{F8485BF0-152C-43D4-A95D-0A2DC00ACC0A}"/>
  </hyperlinks>
  <pageMargins left="0.7" right="0.7" top="0.75" bottom="0.75" header="0.3" footer="0.3"/>
  <pageSetup orientation="portrait" r:id="rId7"/>
  <drawing r:id="rId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A59D28-B4F2-4098-9932-4583044A157E}">
  <sheetPr>
    <tabColor theme="7" tint="0.39997558519241921"/>
  </sheetPr>
  <dimension ref="A1:G59"/>
  <sheetViews>
    <sheetView workbookViewId="0">
      <selection activeCell="F16" sqref="F16"/>
    </sheetView>
  </sheetViews>
  <sheetFormatPr defaultRowHeight="14.5" x14ac:dyDescent="0.35"/>
  <cols>
    <col min="1" max="1" width="21.6328125" style="74" bestFit="1" customWidth="1"/>
    <col min="2" max="2" width="13" style="74" customWidth="1"/>
    <col min="3" max="16384" width="8.7265625" style="74"/>
  </cols>
  <sheetData>
    <row r="1" spans="1:7" x14ac:dyDescent="0.35">
      <c r="B1" s="1" t="s">
        <v>797</v>
      </c>
      <c r="D1" s="17" t="s">
        <v>958</v>
      </c>
      <c r="E1" s="17" t="s">
        <v>960</v>
      </c>
      <c r="F1" s="17" t="str">
        <f t="shared" ref="F1" si="0">B34</f>
        <v>Kia Niro E</v>
      </c>
      <c r="G1" s="17" t="s">
        <v>963</v>
      </c>
    </row>
    <row r="2" spans="1:7" x14ac:dyDescent="0.35">
      <c r="A2" s="74" t="s">
        <v>953</v>
      </c>
      <c r="B2" s="4">
        <f>AVERAGE(D2:G2)</f>
        <v>69.54651162790698</v>
      </c>
      <c r="C2" s="4"/>
      <c r="D2" s="74">
        <f t="shared" ref="D2:D3" si="1">B11</f>
        <v>68</v>
      </c>
      <c r="E2" s="74">
        <f t="shared" ref="E2:E3" si="2">B19</f>
        <v>86</v>
      </c>
      <c r="F2" s="74">
        <f>B36</f>
        <v>60</v>
      </c>
      <c r="G2" s="4">
        <f t="shared" ref="G2:G3" si="3">B27</f>
        <v>64.186046511627907</v>
      </c>
    </row>
    <row r="3" spans="1:7" x14ac:dyDescent="0.35">
      <c r="A3" s="74" t="s">
        <v>954</v>
      </c>
      <c r="B3" s="4">
        <f>AVERAGE(D3:G3)</f>
        <v>104.31976744186046</v>
      </c>
      <c r="C3" s="4"/>
      <c r="D3" s="74">
        <f t="shared" si="1"/>
        <v>102</v>
      </c>
      <c r="E3" s="74">
        <f t="shared" si="2"/>
        <v>129</v>
      </c>
      <c r="F3" s="74">
        <f>B37</f>
        <v>90</v>
      </c>
      <c r="G3" s="4">
        <f t="shared" si="3"/>
        <v>96.279069767441854</v>
      </c>
    </row>
    <row r="6" spans="1:7" x14ac:dyDescent="0.35">
      <c r="A6" s="1" t="s">
        <v>958</v>
      </c>
      <c r="B6" s="74" t="s">
        <v>961</v>
      </c>
    </row>
    <row r="7" spans="1:7" x14ac:dyDescent="0.35">
      <c r="A7" s="74" t="s">
        <v>951</v>
      </c>
      <c r="B7" s="159">
        <f>B8*B9/100</f>
        <v>114.84</v>
      </c>
      <c r="C7" s="159">
        <f>C8*C9/100</f>
        <v>115.07</v>
      </c>
      <c r="D7" s="159">
        <f>D8*D9/100</f>
        <v>113.22</v>
      </c>
      <c r="F7" s="4"/>
    </row>
    <row r="8" spans="1:7" x14ac:dyDescent="0.35">
      <c r="A8" s="74" t="s">
        <v>840</v>
      </c>
      <c r="B8" s="74">
        <v>348</v>
      </c>
      <c r="C8" s="74">
        <v>311</v>
      </c>
      <c r="D8" s="74">
        <v>333</v>
      </c>
      <c r="F8" s="4"/>
    </row>
    <row r="9" spans="1:7" x14ac:dyDescent="0.35">
      <c r="A9" s="74" t="s">
        <v>949</v>
      </c>
      <c r="B9" s="74">
        <v>33</v>
      </c>
      <c r="C9" s="74">
        <v>37</v>
      </c>
      <c r="D9" s="74">
        <v>34</v>
      </c>
      <c r="F9" s="4"/>
    </row>
    <row r="11" spans="1:7" x14ac:dyDescent="0.35">
      <c r="A11" s="74" t="s">
        <v>953</v>
      </c>
      <c r="B11" s="74">
        <f>D9*2</f>
        <v>68</v>
      </c>
    </row>
    <row r="12" spans="1:7" x14ac:dyDescent="0.35">
      <c r="A12" s="74" t="s">
        <v>954</v>
      </c>
      <c r="B12" s="74">
        <f>D9*3</f>
        <v>102</v>
      </c>
    </row>
    <row r="14" spans="1:7" x14ac:dyDescent="0.35">
      <c r="A14" s="1" t="s">
        <v>960</v>
      </c>
      <c r="B14" s="74" t="s">
        <v>961</v>
      </c>
    </row>
    <row r="15" spans="1:7" x14ac:dyDescent="0.35">
      <c r="A15" s="74" t="s">
        <v>951</v>
      </c>
      <c r="B15" s="159">
        <f>B16*B17/100</f>
        <v>95.46</v>
      </c>
      <c r="C15" s="159">
        <f>C16*C17/100</f>
        <v>95.68</v>
      </c>
      <c r="D15" s="159"/>
      <c r="F15" s="4"/>
    </row>
    <row r="16" spans="1:7" x14ac:dyDescent="0.35">
      <c r="A16" s="74" t="s">
        <v>840</v>
      </c>
      <c r="B16" s="74">
        <v>222</v>
      </c>
      <c r="C16" s="74">
        <v>208</v>
      </c>
      <c r="F16" s="4"/>
    </row>
    <row r="17" spans="1:6" x14ac:dyDescent="0.35">
      <c r="A17" s="74" t="s">
        <v>949</v>
      </c>
      <c r="B17" s="74">
        <v>43</v>
      </c>
      <c r="C17" s="74">
        <v>46</v>
      </c>
      <c r="F17" s="4"/>
    </row>
    <row r="19" spans="1:6" x14ac:dyDescent="0.35">
      <c r="A19" s="74" t="s">
        <v>953</v>
      </c>
      <c r="B19" s="74">
        <f>B17*2</f>
        <v>86</v>
      </c>
    </row>
    <row r="20" spans="1:6" x14ac:dyDescent="0.35">
      <c r="A20" s="74" t="s">
        <v>954</v>
      </c>
      <c r="B20" s="74">
        <f>B17*3</f>
        <v>129</v>
      </c>
    </row>
    <row r="22" spans="1:6" x14ac:dyDescent="0.35">
      <c r="A22" s="1" t="s">
        <v>963</v>
      </c>
      <c r="B22" s="74" t="s">
        <v>964</v>
      </c>
    </row>
    <row r="23" spans="1:6" x14ac:dyDescent="0.35">
      <c r="A23" s="74" t="s">
        <v>951</v>
      </c>
      <c r="B23" s="159">
        <v>107.5</v>
      </c>
      <c r="C23" s="159"/>
    </row>
    <row r="24" spans="1:6" x14ac:dyDescent="0.35">
      <c r="A24" s="74" t="s">
        <v>840</v>
      </c>
      <c r="B24" s="74">
        <v>345</v>
      </c>
    </row>
    <row r="25" spans="1:6" x14ac:dyDescent="0.35">
      <c r="A25" s="74" t="s">
        <v>949</v>
      </c>
      <c r="B25" s="4">
        <f>B24/B23*10</f>
        <v>32.093023255813954</v>
      </c>
    </row>
    <row r="27" spans="1:6" x14ac:dyDescent="0.35">
      <c r="A27" s="74" t="s">
        <v>953</v>
      </c>
      <c r="B27" s="4">
        <f>B25*2</f>
        <v>64.186046511627907</v>
      </c>
    </row>
    <row r="28" spans="1:6" x14ac:dyDescent="0.35">
      <c r="A28" s="74" t="s">
        <v>954</v>
      </c>
      <c r="B28" s="4">
        <f>B25*3</f>
        <v>96.279069767441854</v>
      </c>
    </row>
    <row r="30" spans="1:6" x14ac:dyDescent="0.35">
      <c r="A30" s="74" t="s">
        <v>962</v>
      </c>
    </row>
    <row r="34" spans="1:2" x14ac:dyDescent="0.35">
      <c r="A34" s="1" t="s">
        <v>1197</v>
      </c>
      <c r="B34" s="74" t="s">
        <v>1200</v>
      </c>
    </row>
    <row r="35" spans="1:2" x14ac:dyDescent="0.35">
      <c r="A35" s="74" t="s">
        <v>949</v>
      </c>
      <c r="B35" s="74">
        <v>30</v>
      </c>
    </row>
    <row r="36" spans="1:2" x14ac:dyDescent="0.35">
      <c r="A36" s="74" t="s">
        <v>953</v>
      </c>
      <c r="B36" s="159">
        <f t="shared" ref="B36" si="4">2*B35</f>
        <v>60</v>
      </c>
    </row>
    <row r="37" spans="1:2" x14ac:dyDescent="0.35">
      <c r="A37" s="74" t="s">
        <v>954</v>
      </c>
      <c r="B37" s="74">
        <f t="shared" ref="B37" si="5">3*B35</f>
        <v>90</v>
      </c>
    </row>
    <row r="38" spans="1:2" x14ac:dyDescent="0.35">
      <c r="A38" s="1"/>
    </row>
    <row r="59" spans="2:2" x14ac:dyDescent="0.35">
      <c r="B59" s="159"/>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FFC2BE-FAD9-4C04-AAD8-3E9014957DCD}">
  <sheetPr>
    <tabColor theme="9"/>
  </sheetPr>
  <dimension ref="A1:AF140"/>
  <sheetViews>
    <sheetView workbookViewId="0">
      <selection activeCell="AF18" sqref="B12:AF18"/>
    </sheetView>
  </sheetViews>
  <sheetFormatPr defaultRowHeight="14.5" x14ac:dyDescent="0.35"/>
  <cols>
    <col min="1" max="1" width="25.36328125" customWidth="1"/>
    <col min="2" max="2" width="28.08984375" customWidth="1"/>
    <col min="3" max="3" width="19" customWidth="1"/>
    <col min="4" max="4" width="12.08984375" bestFit="1" customWidth="1"/>
    <col min="7" max="9" width="12.08984375" bestFit="1" customWidth="1"/>
    <col min="12" max="12" width="13.90625" customWidth="1"/>
    <col min="32" max="32" width="13.36328125" customWidth="1"/>
  </cols>
  <sheetData>
    <row r="1" spans="1:32" s="74" customFormat="1" x14ac:dyDescent="0.35">
      <c r="A1" s="176" t="s">
        <v>1353</v>
      </c>
    </row>
    <row r="2" spans="1:32" s="74" customFormat="1" x14ac:dyDescent="0.35">
      <c r="A2" s="177" t="s">
        <v>1339</v>
      </c>
      <c r="B2" s="74">
        <f>B21</f>
        <v>2020</v>
      </c>
      <c r="C2" s="74">
        <f t="shared" ref="C2:AF2" si="0">C21</f>
        <v>2021</v>
      </c>
      <c r="D2" s="74">
        <f t="shared" si="0"/>
        <v>2022</v>
      </c>
      <c r="E2" s="74">
        <f t="shared" si="0"/>
        <v>2023</v>
      </c>
      <c r="F2" s="74">
        <f t="shared" si="0"/>
        <v>2024</v>
      </c>
      <c r="G2" s="74">
        <f t="shared" si="0"/>
        <v>2025</v>
      </c>
      <c r="H2" s="74">
        <f t="shared" si="0"/>
        <v>2026</v>
      </c>
      <c r="I2" s="74">
        <f t="shared" si="0"/>
        <v>2027</v>
      </c>
      <c r="J2" s="74">
        <f t="shared" si="0"/>
        <v>2028</v>
      </c>
      <c r="K2" s="74">
        <f t="shared" si="0"/>
        <v>2029</v>
      </c>
      <c r="L2" s="74">
        <f t="shared" si="0"/>
        <v>2030</v>
      </c>
      <c r="M2" s="74">
        <f t="shared" si="0"/>
        <v>2031</v>
      </c>
      <c r="N2" s="74">
        <f t="shared" si="0"/>
        <v>2032</v>
      </c>
      <c r="O2" s="74">
        <f t="shared" si="0"/>
        <v>2033</v>
      </c>
      <c r="P2" s="74">
        <f t="shared" si="0"/>
        <v>2034</v>
      </c>
      <c r="Q2" s="74">
        <f t="shared" si="0"/>
        <v>2035</v>
      </c>
      <c r="R2" s="74">
        <f t="shared" si="0"/>
        <v>2036</v>
      </c>
      <c r="S2" s="74">
        <f t="shared" si="0"/>
        <v>2037</v>
      </c>
      <c r="T2" s="74">
        <f t="shared" si="0"/>
        <v>2038</v>
      </c>
      <c r="U2" s="74">
        <f t="shared" si="0"/>
        <v>2039</v>
      </c>
      <c r="V2" s="74">
        <f t="shared" si="0"/>
        <v>2040</v>
      </c>
      <c r="W2" s="74">
        <f t="shared" si="0"/>
        <v>2041</v>
      </c>
      <c r="X2" s="74">
        <f t="shared" si="0"/>
        <v>2042</v>
      </c>
      <c r="Y2" s="74">
        <f t="shared" si="0"/>
        <v>2043</v>
      </c>
      <c r="Z2" s="74">
        <f t="shared" si="0"/>
        <v>2044</v>
      </c>
      <c r="AA2" s="74">
        <f t="shared" si="0"/>
        <v>2045</v>
      </c>
      <c r="AB2" s="74">
        <f t="shared" si="0"/>
        <v>2046</v>
      </c>
      <c r="AC2" s="74">
        <f t="shared" si="0"/>
        <v>2047</v>
      </c>
      <c r="AD2" s="74">
        <f t="shared" si="0"/>
        <v>2048</v>
      </c>
      <c r="AE2" s="74">
        <f t="shared" si="0"/>
        <v>2049</v>
      </c>
      <c r="AF2" s="74">
        <f t="shared" si="0"/>
        <v>2050</v>
      </c>
    </row>
    <row r="3" spans="1:32" s="74" customFormat="1" x14ac:dyDescent="0.35">
      <c r="A3" s="74" t="s">
        <v>0</v>
      </c>
      <c r="B3" s="68">
        <f>B22*About!$A$169</f>
        <v>170105.71381451821</v>
      </c>
      <c r="C3" s="68">
        <f>C22*About!$A$169</f>
        <v>158150.03934815663</v>
      </c>
      <c r="D3" s="68">
        <f>D22*About!$A$169</f>
        <v>150378.65012075135</v>
      </c>
      <c r="E3" s="68">
        <f>E22*About!$A$169</f>
        <v>144793.31276680075</v>
      </c>
      <c r="F3" s="68">
        <f>F22*About!$A$169</f>
        <v>140415.59869107281</v>
      </c>
      <c r="G3" s="68">
        <f>G22*About!$A$169</f>
        <v>137175.31502959738</v>
      </c>
      <c r="H3" s="68">
        <f>H22*About!$A$169</f>
        <v>134428.4852892202</v>
      </c>
      <c r="I3" s="68">
        <f>I22*About!$A$169</f>
        <v>132025.79821888031</v>
      </c>
      <c r="J3" s="68">
        <f>J22*About!$A$169</f>
        <v>129960.24090755433</v>
      </c>
      <c r="K3" s="68">
        <f>K22*About!$A$169</f>
        <v>128158.30529697014</v>
      </c>
      <c r="L3" s="68">
        <f>L22*About!$A$169</f>
        <v>126568.09584555485</v>
      </c>
      <c r="M3" s="68">
        <f>M22*About!$A$169</f>
        <v>125159.52078964461</v>
      </c>
      <c r="N3" s="68">
        <f>N22*About!$A$169</f>
        <v>123925.6309719526</v>
      </c>
      <c r="O3" s="68">
        <f>O22*About!$A$169</f>
        <v>122858.83969782633</v>
      </c>
      <c r="P3" s="68">
        <f>P22*About!$A$169</f>
        <v>121931.0953231723</v>
      </c>
      <c r="Q3" s="68">
        <f>Q22*About!$A$169</f>
        <v>121120.14779392551</v>
      </c>
      <c r="R3" s="68">
        <f>R22*About!$A$169</f>
        <v>120395.26780905634</v>
      </c>
      <c r="S3" s="68">
        <f>S22*About!$A$169</f>
        <v>119759.77056286675</v>
      </c>
      <c r="T3" s="68">
        <f>T22*About!$A$169</f>
        <v>119197.33509879321</v>
      </c>
      <c r="U3" s="68">
        <f>U22*About!$A$169</f>
        <v>118692.59676632099</v>
      </c>
      <c r="V3" s="68">
        <f>V22*About!$A$169</f>
        <v>118234.33490781266</v>
      </c>
      <c r="W3" s="68">
        <f>W22*About!$A$169</f>
        <v>117825.86471757021</v>
      </c>
      <c r="X3" s="68">
        <f>X22*About!$A$169</f>
        <v>117458.38817994612</v>
      </c>
      <c r="Y3" s="68">
        <f>Y22*About!$A$169</f>
        <v>117126.03995117541</v>
      </c>
      <c r="Z3" s="68">
        <f>Z22*About!$A$169</f>
        <v>116824.03850101487</v>
      </c>
      <c r="AA3" s="68">
        <f>AA22*About!$A$169</f>
        <v>116548.30359032366</v>
      </c>
      <c r="AB3" s="68">
        <f>AB22*About!$A$169</f>
        <v>116296.03005469241</v>
      </c>
      <c r="AC3" s="68">
        <f>AC22*About!$A$169</f>
        <v>116063.71143860943</v>
      </c>
      <c r="AD3" s="68">
        <f>AD22*About!$A$169</f>
        <v>115848.86134634829</v>
      </c>
      <c r="AE3" s="68">
        <f>AE22*About!$A$169</f>
        <v>115649.50341207514</v>
      </c>
      <c r="AF3" s="68">
        <f>AF22*About!$A$169</f>
        <v>115463.91628490237</v>
      </c>
    </row>
    <row r="4" spans="1:32" s="74" customFormat="1" x14ac:dyDescent="0.35">
      <c r="A4" s="74" t="s">
        <v>1</v>
      </c>
      <c r="B4" s="68">
        <f>B23*About!$A$169</f>
        <v>99455.829058567353</v>
      </c>
      <c r="C4" s="68">
        <f>C23*About!$A$169</f>
        <v>99455.829058567353</v>
      </c>
      <c r="D4" s="68">
        <f>D23*About!$A$169</f>
        <v>99455.829058567353</v>
      </c>
      <c r="E4" s="68">
        <f>E23*About!$A$169</f>
        <v>108042.18230062367</v>
      </c>
      <c r="F4" s="68">
        <f>F23*About!$A$169</f>
        <v>108042.18230062367</v>
      </c>
      <c r="G4" s="68">
        <f>G23*About!$A$169</f>
        <v>116628.53554267999</v>
      </c>
      <c r="H4" s="68">
        <f>H23*About!$A$169</f>
        <v>125214.88878473631</v>
      </c>
      <c r="I4" s="68">
        <f>I23*About!$A$169</f>
        <v>135791.20865778497</v>
      </c>
      <c r="J4" s="68">
        <f>J23*About!$A$169</f>
        <v>146367.52853083366</v>
      </c>
      <c r="K4" s="68">
        <f>K23*About!$A$169</f>
        <v>156943.84840388232</v>
      </c>
      <c r="L4" s="68">
        <f>L23*About!$A$169</f>
        <v>167520.16827693101</v>
      </c>
      <c r="M4" s="68">
        <f>M23*About!$A$169</f>
        <v>167520.16827693101</v>
      </c>
      <c r="N4" s="68">
        <f>N23*About!$A$169</f>
        <v>167520.16827693101</v>
      </c>
      <c r="O4" s="68">
        <f>O23*About!$A$169</f>
        <v>167520.16827693101</v>
      </c>
      <c r="P4" s="68">
        <f>P23*About!$A$169</f>
        <v>167520.16827693101</v>
      </c>
      <c r="Q4" s="68">
        <f>Q23*About!$A$169</f>
        <v>167520.16827693101</v>
      </c>
      <c r="R4" s="68">
        <f>R23*About!$A$169</f>
        <v>167520.16827693101</v>
      </c>
      <c r="S4" s="68">
        <f>S23*About!$A$169</f>
        <v>167520.16827693101</v>
      </c>
      <c r="T4" s="68">
        <f>T23*About!$A$169</f>
        <v>167520.16827693101</v>
      </c>
      <c r="U4" s="68">
        <f>U23*About!$A$169</f>
        <v>167520.16827693101</v>
      </c>
      <c r="V4" s="68">
        <f>V23*About!$A$169</f>
        <v>167520.16827693101</v>
      </c>
      <c r="W4" s="68">
        <f>W23*About!$A$169</f>
        <v>167520.16827693101</v>
      </c>
      <c r="X4" s="68">
        <f>X23*About!$A$169</f>
        <v>167520.16827693101</v>
      </c>
      <c r="Y4" s="68">
        <f>Y23*About!$A$169</f>
        <v>167520.16827693101</v>
      </c>
      <c r="Z4" s="68">
        <f>Z23*About!$A$169</f>
        <v>167520.16827693101</v>
      </c>
      <c r="AA4" s="68">
        <f>AA23*About!$A$169</f>
        <v>167520.16827693101</v>
      </c>
      <c r="AB4" s="68">
        <f>AB23*About!$A$169</f>
        <v>167520.16827693101</v>
      </c>
      <c r="AC4" s="68">
        <f>AC23*About!$A$169</f>
        <v>167520.16827693101</v>
      </c>
      <c r="AD4" s="68">
        <f>AD23*About!$A$169</f>
        <v>167520.16827693101</v>
      </c>
      <c r="AE4" s="68">
        <f>AE23*About!$A$169</f>
        <v>167520.16827693101</v>
      </c>
      <c r="AF4" s="68">
        <f>AF23*About!$A$169</f>
        <v>167520.16827693101</v>
      </c>
    </row>
    <row r="5" spans="1:32" s="74" customFormat="1" x14ac:dyDescent="0.35">
      <c r="A5" s="74" t="s">
        <v>2</v>
      </c>
      <c r="B5" s="68">
        <v>999999</v>
      </c>
      <c r="C5" s="68">
        <v>999999</v>
      </c>
      <c r="D5" s="68">
        <v>999999</v>
      </c>
      <c r="E5" s="68">
        <v>999999</v>
      </c>
      <c r="F5" s="68">
        <v>999999</v>
      </c>
      <c r="G5" s="68">
        <v>999999</v>
      </c>
      <c r="H5" s="68">
        <v>999999</v>
      </c>
      <c r="I5" s="68">
        <v>999999</v>
      </c>
      <c r="J5" s="68">
        <v>999999</v>
      </c>
      <c r="K5" s="68">
        <v>999999</v>
      </c>
      <c r="L5" s="68">
        <v>999999</v>
      </c>
      <c r="M5" s="68">
        <v>999999</v>
      </c>
      <c r="N5" s="68">
        <v>999999</v>
      </c>
      <c r="O5" s="68">
        <v>999999</v>
      </c>
      <c r="P5" s="68">
        <v>999999</v>
      </c>
      <c r="Q5" s="68">
        <v>999999</v>
      </c>
      <c r="R5" s="68">
        <v>999999</v>
      </c>
      <c r="S5" s="68">
        <v>999999</v>
      </c>
      <c r="T5" s="68">
        <v>999999</v>
      </c>
      <c r="U5" s="68">
        <v>999999</v>
      </c>
      <c r="V5" s="68">
        <v>999999</v>
      </c>
      <c r="W5" s="68">
        <v>999999</v>
      </c>
      <c r="X5" s="68">
        <v>999999</v>
      </c>
      <c r="Y5" s="68">
        <v>999999</v>
      </c>
      <c r="Z5" s="68">
        <v>999999</v>
      </c>
      <c r="AA5" s="68">
        <v>999999</v>
      </c>
      <c r="AB5" s="68">
        <v>999999</v>
      </c>
      <c r="AC5" s="68">
        <v>999999</v>
      </c>
      <c r="AD5" s="68">
        <v>999999</v>
      </c>
      <c r="AE5" s="68">
        <v>999999</v>
      </c>
      <c r="AF5" s="68">
        <v>999999</v>
      </c>
    </row>
    <row r="6" spans="1:32" s="74" customFormat="1" x14ac:dyDescent="0.35">
      <c r="A6" s="74" t="s">
        <v>3</v>
      </c>
      <c r="B6" s="68">
        <f>B25*About!$A$169</f>
        <v>99455.829058567353</v>
      </c>
      <c r="C6" s="68">
        <f>C25*About!$A$169</f>
        <v>99455.829058567353</v>
      </c>
      <c r="D6" s="68">
        <f>D25*About!$A$169</f>
        <v>99455.829058567353</v>
      </c>
      <c r="E6" s="68">
        <f>E25*About!$A$169</f>
        <v>108042.18230062367</v>
      </c>
      <c r="F6" s="68">
        <f>F25*About!$A$169</f>
        <v>108042.18230062367</v>
      </c>
      <c r="G6" s="68">
        <f>G25*About!$A$169</f>
        <v>116628.53554267999</v>
      </c>
      <c r="H6" s="68">
        <f>H25*About!$A$169</f>
        <v>125214.88878473631</v>
      </c>
      <c r="I6" s="68">
        <f>I25*About!$A$169</f>
        <v>135791.20865778497</v>
      </c>
      <c r="J6" s="68">
        <f>J25*About!$A$169</f>
        <v>146367.52853083366</v>
      </c>
      <c r="K6" s="68">
        <f>K25*About!$A$169</f>
        <v>156943.84840388232</v>
      </c>
      <c r="L6" s="68">
        <f>L25*About!$A$169</f>
        <v>167520.16827693101</v>
      </c>
      <c r="M6" s="68">
        <f>M25*About!$A$169</f>
        <v>167520.16827693101</v>
      </c>
      <c r="N6" s="68">
        <f>N25*About!$A$169</f>
        <v>167520.16827693101</v>
      </c>
      <c r="O6" s="68">
        <f>O25*About!$A$169</f>
        <v>167520.16827693101</v>
      </c>
      <c r="P6" s="68">
        <f>P25*About!$A$169</f>
        <v>167520.16827693101</v>
      </c>
      <c r="Q6" s="68">
        <f>Q25*About!$A$169</f>
        <v>167520.16827693101</v>
      </c>
      <c r="R6" s="68">
        <f>R25*About!$A$169</f>
        <v>167520.16827693101</v>
      </c>
      <c r="S6" s="68">
        <f>S25*About!$A$169</f>
        <v>167520.16827693101</v>
      </c>
      <c r="T6" s="68">
        <f>T25*About!$A$169</f>
        <v>167520.16827693101</v>
      </c>
      <c r="U6" s="68">
        <f>U25*About!$A$169</f>
        <v>167520.16827693101</v>
      </c>
      <c r="V6" s="68">
        <f>V25*About!$A$169</f>
        <v>167520.16827693101</v>
      </c>
      <c r="W6" s="68">
        <f>W25*About!$A$169</f>
        <v>167520.16827693101</v>
      </c>
      <c r="X6" s="68">
        <f>X25*About!$A$169</f>
        <v>167520.16827693101</v>
      </c>
      <c r="Y6" s="68">
        <f>Y25*About!$A$169</f>
        <v>167520.16827693101</v>
      </c>
      <c r="Z6" s="68">
        <f>Z25*About!$A$169</f>
        <v>167520.16827693101</v>
      </c>
      <c r="AA6" s="68">
        <f>AA25*About!$A$169</f>
        <v>167520.16827693101</v>
      </c>
      <c r="AB6" s="68">
        <f>AB25*About!$A$169</f>
        <v>167520.16827693101</v>
      </c>
      <c r="AC6" s="68">
        <f>AC25*About!$A$169</f>
        <v>167520.16827693101</v>
      </c>
      <c r="AD6" s="68">
        <f>AD25*About!$A$169</f>
        <v>167520.16827693101</v>
      </c>
      <c r="AE6" s="68">
        <f>AE25*About!$A$169</f>
        <v>167520.16827693101</v>
      </c>
      <c r="AF6" s="68">
        <f>AF25*About!$A$169</f>
        <v>167520.16827693101</v>
      </c>
    </row>
    <row r="7" spans="1:32" s="74" customFormat="1" x14ac:dyDescent="0.35">
      <c r="A7" s="74" t="s">
        <v>4</v>
      </c>
      <c r="B7" s="68">
        <v>999999</v>
      </c>
      <c r="C7" s="68">
        <v>999999</v>
      </c>
      <c r="D7" s="68">
        <v>999999</v>
      </c>
      <c r="E7" s="68">
        <v>999999</v>
      </c>
      <c r="F7" s="68">
        <v>999999</v>
      </c>
      <c r="G7" s="68">
        <v>999999</v>
      </c>
      <c r="H7" s="68">
        <v>999999</v>
      </c>
      <c r="I7" s="68">
        <v>999999</v>
      </c>
      <c r="J7" s="68">
        <v>999999</v>
      </c>
      <c r="K7" s="68">
        <v>999999</v>
      </c>
      <c r="L7" s="68">
        <v>999999</v>
      </c>
      <c r="M7" s="68">
        <v>999999</v>
      </c>
      <c r="N7" s="68">
        <v>999999</v>
      </c>
      <c r="O7" s="68">
        <v>999999</v>
      </c>
      <c r="P7" s="68">
        <v>999999</v>
      </c>
      <c r="Q7" s="68">
        <v>999999</v>
      </c>
      <c r="R7" s="68">
        <v>999999</v>
      </c>
      <c r="S7" s="68">
        <v>999999</v>
      </c>
      <c r="T7" s="68">
        <v>999999</v>
      </c>
      <c r="U7" s="68">
        <v>999999</v>
      </c>
      <c r="V7" s="68">
        <v>999999</v>
      </c>
      <c r="W7" s="68">
        <v>999999</v>
      </c>
      <c r="X7" s="68">
        <v>999999</v>
      </c>
      <c r="Y7" s="68">
        <v>999999</v>
      </c>
      <c r="Z7" s="68">
        <v>999999</v>
      </c>
      <c r="AA7" s="68">
        <v>999999</v>
      </c>
      <c r="AB7" s="68">
        <v>999999</v>
      </c>
      <c r="AC7" s="68">
        <v>999999</v>
      </c>
      <c r="AD7" s="68">
        <v>999999</v>
      </c>
      <c r="AE7" s="68">
        <v>999999</v>
      </c>
      <c r="AF7" s="68">
        <v>999999</v>
      </c>
    </row>
    <row r="8" spans="1:32" s="74" customFormat="1" x14ac:dyDescent="0.35">
      <c r="A8" s="74" t="s">
        <v>565</v>
      </c>
      <c r="B8" s="68">
        <v>999999</v>
      </c>
      <c r="C8" s="68">
        <v>999999</v>
      </c>
      <c r="D8" s="68">
        <v>999999</v>
      </c>
      <c r="E8" s="68">
        <v>999999</v>
      </c>
      <c r="F8" s="68">
        <v>999999</v>
      </c>
      <c r="G8" s="68">
        <v>999999</v>
      </c>
      <c r="H8" s="68">
        <v>999999</v>
      </c>
      <c r="I8" s="68">
        <v>999999</v>
      </c>
      <c r="J8" s="68">
        <v>999999</v>
      </c>
      <c r="K8" s="68">
        <v>999999</v>
      </c>
      <c r="L8" s="68">
        <v>999999</v>
      </c>
      <c r="M8" s="68">
        <v>999999</v>
      </c>
      <c r="N8" s="68">
        <v>999999</v>
      </c>
      <c r="O8" s="68">
        <v>999999</v>
      </c>
      <c r="P8" s="68">
        <v>999999</v>
      </c>
      <c r="Q8" s="68">
        <v>999999</v>
      </c>
      <c r="R8" s="68">
        <v>999999</v>
      </c>
      <c r="S8" s="68">
        <v>999999</v>
      </c>
      <c r="T8" s="68">
        <v>999999</v>
      </c>
      <c r="U8" s="68">
        <v>999999</v>
      </c>
      <c r="V8" s="68">
        <v>999999</v>
      </c>
      <c r="W8" s="68">
        <v>999999</v>
      </c>
      <c r="X8" s="68">
        <v>999999</v>
      </c>
      <c r="Y8" s="68">
        <v>999999</v>
      </c>
      <c r="Z8" s="68">
        <v>999999</v>
      </c>
      <c r="AA8" s="68">
        <v>999999</v>
      </c>
      <c r="AB8" s="68">
        <v>999999</v>
      </c>
      <c r="AC8" s="68">
        <v>999999</v>
      </c>
      <c r="AD8" s="68">
        <v>999999</v>
      </c>
      <c r="AE8" s="68">
        <v>999999</v>
      </c>
      <c r="AF8" s="68">
        <v>999999</v>
      </c>
    </row>
    <row r="9" spans="1:32" s="74" customFormat="1" x14ac:dyDescent="0.35">
      <c r="A9" s="74" t="s">
        <v>566</v>
      </c>
      <c r="B9" s="68">
        <f>B28*About!$A$169</f>
        <v>218707.346332952</v>
      </c>
      <c r="C9" s="68">
        <f>C28*About!$A$169</f>
        <v>196320.00462790579</v>
      </c>
      <c r="D9" s="68">
        <f>D28*About!$A$169</f>
        <v>182770.67741621763</v>
      </c>
      <c r="E9" s="68">
        <f>E28*About!$A$169</f>
        <v>173316.35690711741</v>
      </c>
      <c r="F9" s="68">
        <f>F28*About!$A$169</f>
        <v>166070.96914028164</v>
      </c>
      <c r="G9" s="68">
        <f>G28*About!$A$169</f>
        <v>160638.01132339906</v>
      </c>
      <c r="H9" s="68">
        <f>H28*About!$A$169</f>
        <v>156095.13569711187</v>
      </c>
      <c r="I9" s="68">
        <f>I28*About!$A$169</f>
        <v>152176.89937190025</v>
      </c>
      <c r="J9" s="68">
        <f>J28*About!$A$169</f>
        <v>148816.42084420141</v>
      </c>
      <c r="K9" s="68">
        <f>K28*About!$A$169</f>
        <v>145888.85814075559</v>
      </c>
      <c r="L9" s="68">
        <f>L28*About!$A$169</f>
        <v>143306.5984665154</v>
      </c>
      <c r="M9" s="68">
        <f>M28*About!$A$169</f>
        <v>141084.00240336676</v>
      </c>
      <c r="N9" s="68">
        <f>N28*About!$A$169</f>
        <v>138937.19254108105</v>
      </c>
      <c r="O9" s="68">
        <f>O28*About!$A$169</f>
        <v>136991.75628859026</v>
      </c>
      <c r="P9" s="68">
        <f>P28*About!$A$169</f>
        <v>135213.52839713384</v>
      </c>
      <c r="Q9" s="68">
        <f>Q28*About!$A$169</f>
        <v>133575.42625258261</v>
      </c>
      <c r="R9" s="68">
        <f>R28*About!$A$169</f>
        <v>132041.61064856828</v>
      </c>
      <c r="S9" s="68">
        <f>S28*About!$A$169</f>
        <v>130614.12225222809</v>
      </c>
      <c r="T9" s="68">
        <f>T28*About!$A$169</f>
        <v>129273.62475844887</v>
      </c>
      <c r="U9" s="68">
        <f>U28*About!$A$169</f>
        <v>128002.21139736133</v>
      </c>
      <c r="V9" s="68">
        <f>V28*About!$A$169</f>
        <v>126786.7940352916</v>
      </c>
      <c r="W9" s="68">
        <f>W28*About!$A$169</f>
        <v>125630.05694955667</v>
      </c>
      <c r="X9" s="68">
        <f>X28*About!$A$169</f>
        <v>124521.76188947604</v>
      </c>
      <c r="Y9" s="68">
        <f>Y28*About!$A$169</f>
        <v>123454.9764103062</v>
      </c>
      <c r="Z9" s="68">
        <f>Z28*About!$A$169</f>
        <v>122424.0469447776</v>
      </c>
      <c r="AA9" s="68">
        <f>AA28*About!$A$169</f>
        <v>121424.16722212727</v>
      </c>
      <c r="AB9" s="68">
        <f>AB28*About!$A$169</f>
        <v>120451.95116743509</v>
      </c>
      <c r="AC9" s="68">
        <f>AC28*About!$A$169</f>
        <v>119503.35907566069</v>
      </c>
      <c r="AD9" s="68">
        <f>AD28*About!$A$169</f>
        <v>118575.48086511412</v>
      </c>
      <c r="AE9" s="68">
        <f>AE28*About!$A$169</f>
        <v>117665.98604353704</v>
      </c>
      <c r="AF9" s="68">
        <f>AF28*About!$A$169</f>
        <v>116772.85024669656</v>
      </c>
    </row>
    <row r="10" spans="1:32" s="74" customFormat="1" x14ac:dyDescent="0.35">
      <c r="B10" s="68"/>
      <c r="C10" s="68"/>
      <c r="D10" s="68"/>
      <c r="E10" s="68"/>
      <c r="F10" s="68"/>
      <c r="G10" s="68"/>
      <c r="H10" s="68"/>
      <c r="I10" s="68"/>
      <c r="J10" s="68"/>
      <c r="K10" s="68"/>
      <c r="L10" s="68"/>
      <c r="M10" s="68"/>
      <c r="N10" s="68"/>
      <c r="O10" s="68"/>
      <c r="P10" s="68"/>
      <c r="Q10" s="68"/>
      <c r="R10" s="68"/>
      <c r="S10" s="68"/>
      <c r="T10" s="68"/>
      <c r="U10" s="68"/>
      <c r="V10" s="68"/>
      <c r="W10" s="68"/>
      <c r="X10" s="68"/>
      <c r="Y10" s="68"/>
      <c r="Z10" s="68"/>
      <c r="AA10" s="68"/>
      <c r="AB10" s="68"/>
      <c r="AC10" s="68"/>
      <c r="AD10" s="68"/>
      <c r="AE10" s="68"/>
      <c r="AF10" s="68"/>
    </row>
    <row r="11" spans="1:32" s="74" customFormat="1" x14ac:dyDescent="0.35">
      <c r="A11" s="178" t="s">
        <v>1340</v>
      </c>
      <c r="B11" s="68"/>
      <c r="C11" s="68"/>
      <c r="D11" s="68"/>
      <c r="E11" s="68"/>
      <c r="F11" s="68"/>
      <c r="G11" s="68"/>
      <c r="H11" s="68"/>
      <c r="I11" s="68"/>
      <c r="J11" s="68"/>
      <c r="K11" s="68"/>
      <c r="L11" s="68"/>
      <c r="M11" s="68"/>
      <c r="N11" s="68"/>
      <c r="O11" s="68"/>
      <c r="P11" s="68"/>
      <c r="Q11" s="68"/>
      <c r="R11" s="68"/>
      <c r="S11" s="68"/>
      <c r="T11" s="68"/>
      <c r="U11" s="68"/>
      <c r="V11" s="68"/>
      <c r="W11" s="68"/>
      <c r="X11" s="68"/>
      <c r="Y11" s="68"/>
      <c r="Z11" s="68"/>
      <c r="AA11" s="68"/>
      <c r="AB11" s="68"/>
      <c r="AC11" s="68"/>
      <c r="AD11" s="68"/>
      <c r="AE11" s="68"/>
      <c r="AF11" s="68"/>
    </row>
    <row r="12" spans="1:32" s="74" customFormat="1" x14ac:dyDescent="0.35">
      <c r="A12" s="74" t="s">
        <v>0</v>
      </c>
      <c r="B12" s="68">
        <f>B31*About!$A$169</f>
        <v>233859.45039052292</v>
      </c>
      <c r="C12" s="68">
        <f>C31*About!$A$169</f>
        <v>209948.10145779976</v>
      </c>
      <c r="D12" s="68">
        <f>D31*About!$A$169</f>
        <v>194405.32300298926</v>
      </c>
      <c r="E12" s="68">
        <f>E31*About!$A$169</f>
        <v>183234.648295088</v>
      </c>
      <c r="F12" s="68">
        <f>F31*About!$A$169</f>
        <v>174479.22014363212</v>
      </c>
      <c r="G12" s="68">
        <f>G31*About!$A$169</f>
        <v>167998.65282068125</v>
      </c>
      <c r="H12" s="68">
        <f>H31*About!$A$169</f>
        <v>162504.99333992691</v>
      </c>
      <c r="I12" s="68">
        <f>I31*About!$A$169</f>
        <v>157699.61919924716</v>
      </c>
      <c r="J12" s="68">
        <f>J31*About!$A$169</f>
        <v>153568.50457659518</v>
      </c>
      <c r="K12" s="68">
        <f>K31*About!$A$169</f>
        <v>149964.63335542681</v>
      </c>
      <c r="L12" s="68">
        <f>L31*About!$A$169</f>
        <v>146784.21445259621</v>
      </c>
      <c r="M12" s="68">
        <f>M31*About!$A$169</f>
        <v>143967.06434077575</v>
      </c>
      <c r="N12" s="68">
        <f>N31*About!$A$169</f>
        <v>141499.28470539174</v>
      </c>
      <c r="O12" s="68">
        <f>O31*About!$A$169</f>
        <v>139365.70215713917</v>
      </c>
      <c r="P12" s="68">
        <f>P31*About!$A$169</f>
        <v>137510.21340783112</v>
      </c>
      <c r="Q12" s="68">
        <f>Q31*About!$A$169</f>
        <v>135888.31834933755</v>
      </c>
      <c r="R12" s="68">
        <f>R31*About!$A$169</f>
        <v>134438.55837959918</v>
      </c>
      <c r="S12" s="68">
        <f>S31*About!$A$169</f>
        <v>133167.56388721999</v>
      </c>
      <c r="T12" s="68">
        <f>T31*About!$A$169</f>
        <v>132042.69295907297</v>
      </c>
      <c r="U12" s="68">
        <f>U31*About!$A$169</f>
        <v>131033.21629412849</v>
      </c>
      <c r="V12" s="68">
        <f>V31*About!$A$169</f>
        <v>130116.69257711184</v>
      </c>
      <c r="W12" s="68">
        <f>W31*About!$A$169</f>
        <v>129299.75219662691</v>
      </c>
      <c r="X12" s="68">
        <f>X31*About!$A$169</f>
        <v>128564.79912137876</v>
      </c>
      <c r="Y12" s="68">
        <f>Y31*About!$A$169</f>
        <v>127900.10266383732</v>
      </c>
      <c r="Z12" s="68">
        <f>Z31*About!$A$169</f>
        <v>127296.09976351626</v>
      </c>
      <c r="AA12" s="68">
        <f>AA31*About!$A$169</f>
        <v>126744.62994213382</v>
      </c>
      <c r="AB12" s="68">
        <f>AB31*About!$A$169</f>
        <v>126240.08287087131</v>
      </c>
      <c r="AC12" s="68">
        <f>AC31*About!$A$169</f>
        <v>125775.44563870538</v>
      </c>
      <c r="AD12" s="68">
        <f>AD31*About!$A$169</f>
        <v>125345.74545418311</v>
      </c>
      <c r="AE12" s="68">
        <f>AE31*About!$A$169</f>
        <v>124947.02958563679</v>
      </c>
      <c r="AF12" s="68">
        <f>AF31*About!$A$169</f>
        <v>124575.85533129128</v>
      </c>
    </row>
    <row r="13" spans="1:32" s="74" customFormat="1" x14ac:dyDescent="0.35">
      <c r="A13" s="74" t="s">
        <v>1</v>
      </c>
      <c r="B13" s="68">
        <f>B32*About!$A$169</f>
        <v>123257.22404694246</v>
      </c>
      <c r="C13" s="68">
        <f>C32*About!$A$169</f>
        <v>123257.22404694246</v>
      </c>
      <c r="D13" s="68">
        <f>D32*About!$A$169</f>
        <v>123257.22404694246</v>
      </c>
      <c r="E13" s="68">
        <f>E32*About!$A$169</f>
        <v>123257.22404694246</v>
      </c>
      <c r="F13" s="68">
        <f>F32*About!$A$169</f>
        <v>131843.57728899876</v>
      </c>
      <c r="G13" s="68">
        <f>G32*About!$A$169</f>
        <v>140429.93053105508</v>
      </c>
      <c r="H13" s="68">
        <f>H32*About!$A$169</f>
        <v>149016.28377311138</v>
      </c>
      <c r="I13" s="68">
        <f>I32*About!$A$169</f>
        <v>159592.60364616007</v>
      </c>
      <c r="J13" s="68">
        <f>J32*About!$A$169</f>
        <v>170168.92351920874</v>
      </c>
      <c r="K13" s="68">
        <f>K32*About!$A$169</f>
        <v>180745.24339225743</v>
      </c>
      <c r="L13" s="68">
        <f>L32*About!$A$169</f>
        <v>191321.56326530609</v>
      </c>
      <c r="M13" s="68">
        <f>M32*About!$A$169</f>
        <v>191321.56326530609</v>
      </c>
      <c r="N13" s="68">
        <f>N32*About!$A$169</f>
        <v>191321.56326530609</v>
      </c>
      <c r="O13" s="68">
        <f>O32*About!$A$169</f>
        <v>191321.56326530609</v>
      </c>
      <c r="P13" s="68">
        <f>P32*About!$A$169</f>
        <v>191321.56326530609</v>
      </c>
      <c r="Q13" s="68">
        <f>Q32*About!$A$169</f>
        <v>191321.56326530609</v>
      </c>
      <c r="R13" s="68">
        <f>R32*About!$A$169</f>
        <v>191321.56326530609</v>
      </c>
      <c r="S13" s="68">
        <f>S32*About!$A$169</f>
        <v>191321.56326530609</v>
      </c>
      <c r="T13" s="68">
        <f>T32*About!$A$169</f>
        <v>191321.56326530609</v>
      </c>
      <c r="U13" s="68">
        <f>U32*About!$A$169</f>
        <v>191321.56326530609</v>
      </c>
      <c r="V13" s="68">
        <f>V32*About!$A$169</f>
        <v>191321.56326530609</v>
      </c>
      <c r="W13" s="68">
        <f>W32*About!$A$169</f>
        <v>191321.56326530609</v>
      </c>
      <c r="X13" s="68">
        <f>X32*About!$A$169</f>
        <v>191321.56326530609</v>
      </c>
      <c r="Y13" s="68">
        <f>Y32*About!$A$169</f>
        <v>191321.56326530609</v>
      </c>
      <c r="Z13" s="68">
        <f>Z32*About!$A$169</f>
        <v>191321.56326530609</v>
      </c>
      <c r="AA13" s="68">
        <f>AA32*About!$A$169</f>
        <v>191321.56326530609</v>
      </c>
      <c r="AB13" s="68">
        <f>AB32*About!$A$169</f>
        <v>191321.56326530609</v>
      </c>
      <c r="AC13" s="68">
        <f>AC32*About!$A$169</f>
        <v>191321.56326530609</v>
      </c>
      <c r="AD13" s="68">
        <f>AD32*About!$A$169</f>
        <v>191321.56326530609</v>
      </c>
      <c r="AE13" s="68">
        <f>AE32*About!$A$169</f>
        <v>191321.56326530609</v>
      </c>
      <c r="AF13" s="68">
        <f>AF32*About!$A$169</f>
        <v>191321.56326530609</v>
      </c>
    </row>
    <row r="14" spans="1:32" s="74" customFormat="1" x14ac:dyDescent="0.35">
      <c r="A14" s="74" t="s">
        <v>2</v>
      </c>
      <c r="B14" s="68">
        <v>999999</v>
      </c>
      <c r="C14" s="68">
        <v>999999</v>
      </c>
      <c r="D14" s="68">
        <v>999999</v>
      </c>
      <c r="E14" s="68">
        <v>999999</v>
      </c>
      <c r="F14" s="68">
        <v>999999</v>
      </c>
      <c r="G14" s="68">
        <v>999999</v>
      </c>
      <c r="H14" s="68">
        <v>999999</v>
      </c>
      <c r="I14" s="68">
        <v>999999</v>
      </c>
      <c r="J14" s="68">
        <v>999999</v>
      </c>
      <c r="K14" s="68">
        <v>999999</v>
      </c>
      <c r="L14" s="68">
        <v>999999</v>
      </c>
      <c r="M14" s="68">
        <v>999999</v>
      </c>
      <c r="N14" s="68">
        <v>999999</v>
      </c>
      <c r="O14" s="68">
        <v>999999</v>
      </c>
      <c r="P14" s="68">
        <v>999999</v>
      </c>
      <c r="Q14" s="68">
        <v>999999</v>
      </c>
      <c r="R14" s="68">
        <v>999999</v>
      </c>
      <c r="S14" s="68">
        <v>999999</v>
      </c>
      <c r="T14" s="68">
        <v>999999</v>
      </c>
      <c r="U14" s="68">
        <v>999999</v>
      </c>
      <c r="V14" s="68">
        <v>999999</v>
      </c>
      <c r="W14" s="68">
        <v>999999</v>
      </c>
      <c r="X14" s="68">
        <v>999999</v>
      </c>
      <c r="Y14" s="68">
        <v>999999</v>
      </c>
      <c r="Z14" s="68">
        <v>999999</v>
      </c>
      <c r="AA14" s="68">
        <v>999999</v>
      </c>
      <c r="AB14" s="68">
        <v>999999</v>
      </c>
      <c r="AC14" s="68">
        <v>999999</v>
      </c>
      <c r="AD14" s="68">
        <v>999999</v>
      </c>
      <c r="AE14" s="68">
        <v>999999</v>
      </c>
      <c r="AF14" s="68">
        <v>999999</v>
      </c>
    </row>
    <row r="15" spans="1:32" s="74" customFormat="1" x14ac:dyDescent="0.35">
      <c r="A15" s="74" t="s">
        <v>3</v>
      </c>
      <c r="B15" s="68">
        <f>B34*About!$A$169</f>
        <v>123257.22404694246</v>
      </c>
      <c r="C15" s="68">
        <f>C34*About!$A$169</f>
        <v>123257.22404694246</v>
      </c>
      <c r="D15" s="68">
        <f>D34*About!$A$169</f>
        <v>123257.22404694246</v>
      </c>
      <c r="E15" s="68">
        <f>E34*About!$A$169</f>
        <v>123257.22404694246</v>
      </c>
      <c r="F15" s="68">
        <f>F34*About!$A$169</f>
        <v>131843.57728899876</v>
      </c>
      <c r="G15" s="68">
        <f>G34*About!$A$169</f>
        <v>140429.93053105508</v>
      </c>
      <c r="H15" s="68">
        <f>H34*About!$A$169</f>
        <v>149016.28377311138</v>
      </c>
      <c r="I15" s="68">
        <f>I34*About!$A$169</f>
        <v>159592.60364616007</v>
      </c>
      <c r="J15" s="68">
        <f>J34*About!$A$169</f>
        <v>170168.92351920874</v>
      </c>
      <c r="K15" s="68">
        <f>K34*About!$A$169</f>
        <v>180745.24339225743</v>
      </c>
      <c r="L15" s="68">
        <f>L34*About!$A$169</f>
        <v>191321.56326530609</v>
      </c>
      <c r="M15" s="68">
        <f>M34*About!$A$169</f>
        <v>191321.56326530609</v>
      </c>
      <c r="N15" s="68">
        <f>N34*About!$A$169</f>
        <v>191321.56326530609</v>
      </c>
      <c r="O15" s="68">
        <f>O34*About!$A$169</f>
        <v>191321.56326530609</v>
      </c>
      <c r="P15" s="68">
        <f>P34*About!$A$169</f>
        <v>191321.56326530609</v>
      </c>
      <c r="Q15" s="68">
        <f>Q34*About!$A$169</f>
        <v>191321.56326530609</v>
      </c>
      <c r="R15" s="68">
        <f>R34*About!$A$169</f>
        <v>191321.56326530609</v>
      </c>
      <c r="S15" s="68">
        <f>S34*About!$A$169</f>
        <v>191321.56326530609</v>
      </c>
      <c r="T15" s="68">
        <f>T34*About!$A$169</f>
        <v>191321.56326530609</v>
      </c>
      <c r="U15" s="68">
        <f>U34*About!$A$169</f>
        <v>191321.56326530609</v>
      </c>
      <c r="V15" s="68">
        <f>V34*About!$A$169</f>
        <v>191321.56326530609</v>
      </c>
      <c r="W15" s="68">
        <f>W34*About!$A$169</f>
        <v>191321.56326530609</v>
      </c>
      <c r="X15" s="68">
        <f>X34*About!$A$169</f>
        <v>191321.56326530609</v>
      </c>
      <c r="Y15" s="68">
        <f>Y34*About!$A$169</f>
        <v>191321.56326530609</v>
      </c>
      <c r="Z15" s="68">
        <f>Z34*About!$A$169</f>
        <v>191321.56326530609</v>
      </c>
      <c r="AA15" s="68">
        <f>AA34*About!$A$169</f>
        <v>191321.56326530609</v>
      </c>
      <c r="AB15" s="68">
        <f>AB34*About!$A$169</f>
        <v>191321.56326530609</v>
      </c>
      <c r="AC15" s="68">
        <f>AC34*About!$A$169</f>
        <v>191321.56326530609</v>
      </c>
      <c r="AD15" s="68">
        <f>AD34*About!$A$169</f>
        <v>191321.56326530609</v>
      </c>
      <c r="AE15" s="68">
        <f>AE34*About!$A$169</f>
        <v>191321.56326530609</v>
      </c>
      <c r="AF15" s="68">
        <f>AF34*About!$A$169</f>
        <v>191321.56326530609</v>
      </c>
    </row>
    <row r="16" spans="1:32" s="74" customFormat="1" x14ac:dyDescent="0.35">
      <c r="A16" s="74" t="s">
        <v>4</v>
      </c>
      <c r="B16" s="68">
        <v>999999</v>
      </c>
      <c r="C16" s="68">
        <v>999999</v>
      </c>
      <c r="D16" s="68">
        <v>999999</v>
      </c>
      <c r="E16" s="68">
        <v>999999</v>
      </c>
      <c r="F16" s="68">
        <v>999999</v>
      </c>
      <c r="G16" s="68">
        <v>999999</v>
      </c>
      <c r="H16" s="68">
        <v>999999</v>
      </c>
      <c r="I16" s="68">
        <v>999999</v>
      </c>
      <c r="J16" s="68">
        <v>999999</v>
      </c>
      <c r="K16" s="68">
        <v>999999</v>
      </c>
      <c r="L16" s="68">
        <v>999999</v>
      </c>
      <c r="M16" s="68">
        <v>999999</v>
      </c>
      <c r="N16" s="68">
        <v>999999</v>
      </c>
      <c r="O16" s="68">
        <v>999999</v>
      </c>
      <c r="P16" s="68">
        <v>999999</v>
      </c>
      <c r="Q16" s="68">
        <v>999999</v>
      </c>
      <c r="R16" s="68">
        <v>999999</v>
      </c>
      <c r="S16" s="68">
        <v>999999</v>
      </c>
      <c r="T16" s="68">
        <v>999999</v>
      </c>
      <c r="U16" s="68">
        <v>999999</v>
      </c>
      <c r="V16" s="68">
        <v>999999</v>
      </c>
      <c r="W16" s="68">
        <v>999999</v>
      </c>
      <c r="X16" s="68">
        <v>999999</v>
      </c>
      <c r="Y16" s="68">
        <v>999999</v>
      </c>
      <c r="Z16" s="68">
        <v>999999</v>
      </c>
      <c r="AA16" s="68">
        <v>999999</v>
      </c>
      <c r="AB16" s="68">
        <v>999999</v>
      </c>
      <c r="AC16" s="68">
        <v>999999</v>
      </c>
      <c r="AD16" s="68">
        <v>999999</v>
      </c>
      <c r="AE16" s="68">
        <v>999999</v>
      </c>
      <c r="AF16" s="68">
        <v>999999</v>
      </c>
    </row>
    <row r="17" spans="1:32" s="74" customFormat="1" x14ac:dyDescent="0.35">
      <c r="A17" s="74" t="s">
        <v>565</v>
      </c>
      <c r="B17" s="68">
        <v>999999</v>
      </c>
      <c r="C17" s="68">
        <v>999999</v>
      </c>
      <c r="D17" s="68">
        <v>999999</v>
      </c>
      <c r="E17" s="68">
        <v>999999</v>
      </c>
      <c r="F17" s="68">
        <v>999999</v>
      </c>
      <c r="G17" s="68">
        <v>999999</v>
      </c>
      <c r="H17" s="68">
        <v>999999</v>
      </c>
      <c r="I17" s="68">
        <v>999999</v>
      </c>
      <c r="J17" s="68">
        <v>999999</v>
      </c>
      <c r="K17" s="68">
        <v>999999</v>
      </c>
      <c r="L17" s="68">
        <v>999999</v>
      </c>
      <c r="M17" s="68">
        <v>999999</v>
      </c>
      <c r="N17" s="68">
        <v>999999</v>
      </c>
      <c r="O17" s="68">
        <v>999999</v>
      </c>
      <c r="P17" s="68">
        <v>999999</v>
      </c>
      <c r="Q17" s="68">
        <v>999999</v>
      </c>
      <c r="R17" s="68">
        <v>999999</v>
      </c>
      <c r="S17" s="68">
        <v>999999</v>
      </c>
      <c r="T17" s="68">
        <v>999999</v>
      </c>
      <c r="U17" s="68">
        <v>999999</v>
      </c>
      <c r="V17" s="68">
        <v>999999</v>
      </c>
      <c r="W17" s="68">
        <v>999999</v>
      </c>
      <c r="X17" s="68">
        <v>999999</v>
      </c>
      <c r="Y17" s="68">
        <v>999999</v>
      </c>
      <c r="Z17" s="68">
        <v>999999</v>
      </c>
      <c r="AA17" s="68">
        <v>999999</v>
      </c>
      <c r="AB17" s="68">
        <v>999999</v>
      </c>
      <c r="AC17" s="68">
        <v>999999</v>
      </c>
      <c r="AD17" s="68">
        <v>999999</v>
      </c>
      <c r="AE17" s="68">
        <v>999999</v>
      </c>
      <c r="AF17" s="68">
        <v>999999</v>
      </c>
    </row>
    <row r="18" spans="1:32" s="74" customFormat="1" x14ac:dyDescent="0.35">
      <c r="A18" s="74" t="s">
        <v>566</v>
      </c>
      <c r="B18" s="68">
        <f>B37*About!$A$169</f>
        <v>300676.43621638662</v>
      </c>
      <c r="C18" s="68">
        <f>C37*About!$A$169</f>
        <v>260619.67748916466</v>
      </c>
      <c r="D18" s="68">
        <f>D37*About!$A$169</f>
        <v>236280.83208649443</v>
      </c>
      <c r="E18" s="68">
        <f>E37*About!$A$169</f>
        <v>219330.30673045837</v>
      </c>
      <c r="F18" s="68">
        <f>F37*About!$A$169</f>
        <v>206358.3637017654</v>
      </c>
      <c r="G18" s="68">
        <f>G37*About!$A$169</f>
        <v>196733.4245837277</v>
      </c>
      <c r="H18" s="68">
        <f>H37*About!$A$169</f>
        <v>188696.90402505983</v>
      </c>
      <c r="I18" s="68">
        <f>I37*About!$A$169</f>
        <v>181769.31634289454</v>
      </c>
      <c r="J18" s="68">
        <f>J37*About!$A$169</f>
        <v>175850.05264603836</v>
      </c>
      <c r="K18" s="68">
        <f>K37*About!$A$169</f>
        <v>170712.06638558381</v>
      </c>
      <c r="L18" s="68">
        <f>L37*About!$A$169</f>
        <v>166196.27830578489</v>
      </c>
      <c r="M18" s="68">
        <f>M37*About!$A$169</f>
        <v>162284.49520509975</v>
      </c>
      <c r="N18" s="68">
        <f>N37*About!$A$169</f>
        <v>158639.60674920981</v>
      </c>
      <c r="O18" s="68">
        <f>O37*About!$A$169</f>
        <v>155397.46551290966</v>
      </c>
      <c r="P18" s="68">
        <f>P37*About!$A$169</f>
        <v>152489.7409986784</v>
      </c>
      <c r="Q18" s="68">
        <f>Q37*About!$A$169</f>
        <v>149862.26797825738</v>
      </c>
      <c r="R18" s="68">
        <f>R37*About!$A$169</f>
        <v>147443.36803891024</v>
      </c>
      <c r="S18" s="68">
        <f>S37*About!$A$169</f>
        <v>145237.12251491132</v>
      </c>
      <c r="T18" s="68">
        <f>T37*About!$A$169</f>
        <v>143204.85879603442</v>
      </c>
      <c r="U18" s="68">
        <f>U37*About!$A$169</f>
        <v>141310.76334254077</v>
      </c>
      <c r="V18" s="68">
        <f>V37*About!$A$169</f>
        <v>139528.65988708279</v>
      </c>
      <c r="W18" s="68">
        <f>W37*About!$A$169</f>
        <v>137863.91698429445</v>
      </c>
      <c r="X18" s="68">
        <f>X37*About!$A$169</f>
        <v>136296.05813281462</v>
      </c>
      <c r="Y18" s="68">
        <f>Y37*About!$A$169</f>
        <v>134811.21844315645</v>
      </c>
      <c r="Z18" s="68">
        <f>Z37*About!$A$169</f>
        <v>133398.09078078077</v>
      </c>
      <c r="AA18" s="68">
        <f>AA37*About!$A$169</f>
        <v>132047.06260416156</v>
      </c>
      <c r="AB18" s="68">
        <f>AB37*About!$A$169</f>
        <v>130751.36176345867</v>
      </c>
      <c r="AC18" s="68">
        <f>AC37*About!$A$169</f>
        <v>129502.90884859137</v>
      </c>
      <c r="AD18" s="68">
        <f>AD37*About!$A$169</f>
        <v>128295.88369617976</v>
      </c>
      <c r="AE18" s="68">
        <f>AE37*About!$A$169</f>
        <v>127125.62532170708</v>
      </c>
      <c r="AF18" s="68">
        <f>AF37*About!$A$169</f>
        <v>125988.08499670762</v>
      </c>
    </row>
    <row r="19" spans="1:32" s="74" customFormat="1" x14ac:dyDescent="0.35">
      <c r="A19" s="176" t="s">
        <v>1349</v>
      </c>
      <c r="B19" s="68"/>
      <c r="C19" s="68"/>
      <c r="D19" s="68"/>
      <c r="E19" s="68"/>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68"/>
      <c r="AF19" s="68"/>
    </row>
    <row r="20" spans="1:32" s="74" customFormat="1" x14ac:dyDescent="0.35">
      <c r="A20" s="1" t="s">
        <v>1339</v>
      </c>
      <c r="B20" s="68"/>
      <c r="C20" s="68"/>
      <c r="D20" s="68"/>
      <c r="E20" s="68"/>
      <c r="F20" s="68"/>
      <c r="G20" s="68"/>
      <c r="H20" s="68"/>
      <c r="I20" s="68"/>
      <c r="J20" s="68"/>
      <c r="K20" s="68"/>
      <c r="L20" s="68"/>
      <c r="M20" s="68"/>
      <c r="N20" s="68"/>
      <c r="O20" s="68"/>
      <c r="P20" s="68"/>
      <c r="Q20" s="68"/>
      <c r="R20" s="68"/>
      <c r="S20" s="68"/>
      <c r="T20" s="68"/>
      <c r="U20" s="68"/>
      <c r="V20" s="68"/>
      <c r="W20" s="68"/>
      <c r="X20" s="68"/>
      <c r="Y20" s="68"/>
      <c r="Z20" s="68"/>
      <c r="AA20" s="68"/>
      <c r="AB20" s="68"/>
      <c r="AC20" s="68"/>
      <c r="AD20" s="68"/>
      <c r="AE20" s="68"/>
      <c r="AF20" s="68"/>
    </row>
    <row r="21" spans="1:32" s="74" customFormat="1" x14ac:dyDescent="0.35">
      <c r="B21" s="74">
        <v>2020</v>
      </c>
      <c r="C21" s="74">
        <f>B21+1</f>
        <v>2021</v>
      </c>
      <c r="D21" s="74">
        <f t="shared" ref="D21:AE21" si="1">C21+1</f>
        <v>2022</v>
      </c>
      <c r="E21" s="74">
        <f t="shared" si="1"/>
        <v>2023</v>
      </c>
      <c r="F21" s="74">
        <f t="shared" si="1"/>
        <v>2024</v>
      </c>
      <c r="G21" s="74">
        <f t="shared" si="1"/>
        <v>2025</v>
      </c>
      <c r="H21" s="74">
        <f t="shared" si="1"/>
        <v>2026</v>
      </c>
      <c r="I21" s="74">
        <f t="shared" si="1"/>
        <v>2027</v>
      </c>
      <c r="J21" s="74">
        <f t="shared" si="1"/>
        <v>2028</v>
      </c>
      <c r="K21" s="74">
        <f t="shared" si="1"/>
        <v>2029</v>
      </c>
      <c r="L21" s="74">
        <f t="shared" si="1"/>
        <v>2030</v>
      </c>
      <c r="M21" s="74">
        <f t="shared" si="1"/>
        <v>2031</v>
      </c>
      <c r="N21" s="74">
        <f t="shared" si="1"/>
        <v>2032</v>
      </c>
      <c r="O21" s="74">
        <f t="shared" si="1"/>
        <v>2033</v>
      </c>
      <c r="P21" s="74">
        <f t="shared" si="1"/>
        <v>2034</v>
      </c>
      <c r="Q21" s="74">
        <f t="shared" si="1"/>
        <v>2035</v>
      </c>
      <c r="R21" s="74">
        <f t="shared" si="1"/>
        <v>2036</v>
      </c>
      <c r="S21" s="74">
        <f t="shared" si="1"/>
        <v>2037</v>
      </c>
      <c r="T21" s="74">
        <f t="shared" si="1"/>
        <v>2038</v>
      </c>
      <c r="U21" s="74">
        <f t="shared" si="1"/>
        <v>2039</v>
      </c>
      <c r="V21" s="74">
        <f t="shared" si="1"/>
        <v>2040</v>
      </c>
      <c r="W21" s="74">
        <f t="shared" si="1"/>
        <v>2041</v>
      </c>
      <c r="X21" s="74">
        <f t="shared" si="1"/>
        <v>2042</v>
      </c>
      <c r="Y21" s="74">
        <f t="shared" si="1"/>
        <v>2043</v>
      </c>
      <c r="Z21" s="74">
        <f t="shared" si="1"/>
        <v>2044</v>
      </c>
      <c r="AA21" s="74">
        <f t="shared" si="1"/>
        <v>2045</v>
      </c>
      <c r="AB21" s="74">
        <f t="shared" si="1"/>
        <v>2046</v>
      </c>
      <c r="AC21" s="74">
        <f t="shared" si="1"/>
        <v>2047</v>
      </c>
      <c r="AD21" s="74">
        <f t="shared" si="1"/>
        <v>2048</v>
      </c>
      <c r="AE21" s="74">
        <f t="shared" si="1"/>
        <v>2049</v>
      </c>
      <c r="AF21" s="74">
        <f>AE21+1</f>
        <v>2050</v>
      </c>
    </row>
    <row r="22" spans="1:32" s="74" customFormat="1" x14ac:dyDescent="0.35">
      <c r="A22" s="74" t="s">
        <v>0</v>
      </c>
      <c r="B22" s="70">
        <f>D70</f>
        <v>200112.64000000001</v>
      </c>
      <c r="C22" s="68">
        <f>B22-C80</f>
        <v>186047.96500000003</v>
      </c>
      <c r="D22" s="68">
        <f>$B$22-D80</f>
        <v>176905.69</v>
      </c>
      <c r="E22" s="68">
        <f t="shared" ref="E22:AF22" si="2">$B$22-E80</f>
        <v>170335.09000000003</v>
      </c>
      <c r="F22" s="68">
        <f t="shared" si="2"/>
        <v>165185.14000000001</v>
      </c>
      <c r="G22" s="68">
        <f t="shared" si="2"/>
        <v>161373.26500000001</v>
      </c>
      <c r="H22" s="68">
        <f t="shared" si="2"/>
        <v>158141.89000000001</v>
      </c>
      <c r="I22" s="68">
        <f t="shared" si="2"/>
        <v>155315.36500000002</v>
      </c>
      <c r="J22" s="68">
        <f t="shared" si="2"/>
        <v>152885.44</v>
      </c>
      <c r="K22" s="68">
        <f t="shared" si="2"/>
        <v>150765.64000000001</v>
      </c>
      <c r="L22" s="68">
        <f t="shared" si="2"/>
        <v>148894.91500000001</v>
      </c>
      <c r="M22" s="68">
        <f t="shared" si="2"/>
        <v>147237.86500000002</v>
      </c>
      <c r="N22" s="68">
        <f t="shared" si="2"/>
        <v>145786.315</v>
      </c>
      <c r="O22" s="68">
        <f t="shared" si="2"/>
        <v>144531.34000000003</v>
      </c>
      <c r="P22" s="68">
        <f t="shared" si="2"/>
        <v>143439.94</v>
      </c>
      <c r="Q22" s="68">
        <f t="shared" si="2"/>
        <v>142485.94</v>
      </c>
      <c r="R22" s="68">
        <f t="shared" si="2"/>
        <v>141633.19</v>
      </c>
      <c r="S22" s="68">
        <f t="shared" si="2"/>
        <v>140885.59000000003</v>
      </c>
      <c r="T22" s="68">
        <f t="shared" si="2"/>
        <v>140223.94</v>
      </c>
      <c r="U22" s="68">
        <f t="shared" si="2"/>
        <v>139630.16500000001</v>
      </c>
      <c r="V22" s="68">
        <f t="shared" si="2"/>
        <v>139091.065</v>
      </c>
      <c r="W22" s="68">
        <f t="shared" si="2"/>
        <v>138610.54</v>
      </c>
      <c r="X22" s="68">
        <f t="shared" si="2"/>
        <v>138178.24000000002</v>
      </c>
      <c r="Y22" s="68">
        <f t="shared" si="2"/>
        <v>137787.26500000001</v>
      </c>
      <c r="Z22" s="68">
        <f t="shared" si="2"/>
        <v>137431.99000000002</v>
      </c>
      <c r="AA22" s="68">
        <f t="shared" si="2"/>
        <v>137107.61500000002</v>
      </c>
      <c r="AB22" s="68">
        <f t="shared" si="2"/>
        <v>136810.84000000003</v>
      </c>
      <c r="AC22" s="68">
        <f t="shared" si="2"/>
        <v>136537.54</v>
      </c>
      <c r="AD22" s="68">
        <f t="shared" si="2"/>
        <v>136284.79</v>
      </c>
      <c r="AE22" s="68">
        <f t="shared" si="2"/>
        <v>136050.26500000001</v>
      </c>
      <c r="AF22" s="68">
        <f t="shared" si="2"/>
        <v>135831.94</v>
      </c>
    </row>
    <row r="23" spans="1:32" s="74" customFormat="1" x14ac:dyDescent="0.35">
      <c r="A23" s="74" t="s">
        <v>1</v>
      </c>
      <c r="B23" s="74">
        <f>B25</f>
        <v>117000</v>
      </c>
      <c r="C23" s="74">
        <f t="shared" ref="C23:AF23" si="3">C25</f>
        <v>117000</v>
      </c>
      <c r="D23" s="74">
        <f t="shared" si="3"/>
        <v>117000</v>
      </c>
      <c r="E23" s="74">
        <f t="shared" si="3"/>
        <v>127101</v>
      </c>
      <c r="F23" s="74">
        <f t="shared" si="3"/>
        <v>127101</v>
      </c>
      <c r="G23" s="74">
        <f t="shared" si="3"/>
        <v>137202</v>
      </c>
      <c r="H23" s="74">
        <f t="shared" si="3"/>
        <v>147303</v>
      </c>
      <c r="I23" s="74">
        <f t="shared" si="3"/>
        <v>159745</v>
      </c>
      <c r="J23" s="74">
        <f t="shared" si="3"/>
        <v>172187</v>
      </c>
      <c r="K23" s="74">
        <f t="shared" si="3"/>
        <v>184629</v>
      </c>
      <c r="L23" s="74">
        <f t="shared" si="3"/>
        <v>197071</v>
      </c>
      <c r="M23" s="74">
        <f t="shared" si="3"/>
        <v>197071</v>
      </c>
      <c r="N23" s="74">
        <f t="shared" si="3"/>
        <v>197071</v>
      </c>
      <c r="O23" s="74">
        <f t="shared" si="3"/>
        <v>197071</v>
      </c>
      <c r="P23" s="74">
        <f t="shared" si="3"/>
        <v>197071</v>
      </c>
      <c r="Q23" s="74">
        <f t="shared" si="3"/>
        <v>197071</v>
      </c>
      <c r="R23" s="74">
        <f t="shared" si="3"/>
        <v>197071</v>
      </c>
      <c r="S23" s="74">
        <f t="shared" si="3"/>
        <v>197071</v>
      </c>
      <c r="T23" s="74">
        <f t="shared" si="3"/>
        <v>197071</v>
      </c>
      <c r="U23" s="74">
        <f t="shared" si="3"/>
        <v>197071</v>
      </c>
      <c r="V23" s="74">
        <f t="shared" si="3"/>
        <v>197071</v>
      </c>
      <c r="W23" s="74">
        <f t="shared" si="3"/>
        <v>197071</v>
      </c>
      <c r="X23" s="74">
        <f t="shared" si="3"/>
        <v>197071</v>
      </c>
      <c r="Y23" s="74">
        <f t="shared" si="3"/>
        <v>197071</v>
      </c>
      <c r="Z23" s="74">
        <f t="shared" si="3"/>
        <v>197071</v>
      </c>
      <c r="AA23" s="74">
        <f t="shared" si="3"/>
        <v>197071</v>
      </c>
      <c r="AB23" s="74">
        <f t="shared" si="3"/>
        <v>197071</v>
      </c>
      <c r="AC23" s="74">
        <f t="shared" si="3"/>
        <v>197071</v>
      </c>
      <c r="AD23" s="74">
        <f t="shared" si="3"/>
        <v>197071</v>
      </c>
      <c r="AE23" s="74">
        <f t="shared" si="3"/>
        <v>197071</v>
      </c>
      <c r="AF23" s="74">
        <f t="shared" si="3"/>
        <v>197071</v>
      </c>
    </row>
    <row r="24" spans="1:32" s="74" customFormat="1" x14ac:dyDescent="0.35">
      <c r="A24" s="74" t="s">
        <v>2</v>
      </c>
    </row>
    <row r="25" spans="1:32" s="74" customFormat="1" x14ac:dyDescent="0.35">
      <c r="A25" s="74" t="s">
        <v>3</v>
      </c>
      <c r="B25" s="74">
        <f t="shared" ref="B25:L25" si="4">B74</f>
        <v>117000</v>
      </c>
      <c r="C25" s="74">
        <f t="shared" si="4"/>
        <v>117000</v>
      </c>
      <c r="D25" s="74">
        <f t="shared" si="4"/>
        <v>117000</v>
      </c>
      <c r="E25" s="74">
        <f t="shared" si="4"/>
        <v>127101</v>
      </c>
      <c r="F25" s="74">
        <f t="shared" si="4"/>
        <v>127101</v>
      </c>
      <c r="G25" s="74">
        <f t="shared" si="4"/>
        <v>137202</v>
      </c>
      <c r="H25" s="74">
        <f t="shared" si="4"/>
        <v>147303</v>
      </c>
      <c r="I25" s="74">
        <f t="shared" si="4"/>
        <v>159745</v>
      </c>
      <c r="J25" s="74">
        <f t="shared" si="4"/>
        <v>172187</v>
      </c>
      <c r="K25" s="74">
        <f t="shared" si="4"/>
        <v>184629</v>
      </c>
      <c r="L25" s="74">
        <f t="shared" si="4"/>
        <v>197071</v>
      </c>
      <c r="M25" s="74">
        <f>L25</f>
        <v>197071</v>
      </c>
      <c r="N25" s="74">
        <f t="shared" ref="N25:AF25" si="5">M25</f>
        <v>197071</v>
      </c>
      <c r="O25" s="74">
        <f t="shared" si="5"/>
        <v>197071</v>
      </c>
      <c r="P25" s="74">
        <f t="shared" si="5"/>
        <v>197071</v>
      </c>
      <c r="Q25" s="74">
        <f t="shared" si="5"/>
        <v>197071</v>
      </c>
      <c r="R25" s="74">
        <f t="shared" si="5"/>
        <v>197071</v>
      </c>
      <c r="S25" s="74">
        <f t="shared" si="5"/>
        <v>197071</v>
      </c>
      <c r="T25" s="74">
        <f t="shared" si="5"/>
        <v>197071</v>
      </c>
      <c r="U25" s="74">
        <f t="shared" si="5"/>
        <v>197071</v>
      </c>
      <c r="V25" s="74">
        <f t="shared" si="5"/>
        <v>197071</v>
      </c>
      <c r="W25" s="74">
        <f t="shared" si="5"/>
        <v>197071</v>
      </c>
      <c r="X25" s="74">
        <f t="shared" si="5"/>
        <v>197071</v>
      </c>
      <c r="Y25" s="74">
        <f t="shared" si="5"/>
        <v>197071</v>
      </c>
      <c r="Z25" s="74">
        <f t="shared" si="5"/>
        <v>197071</v>
      </c>
      <c r="AA25" s="74">
        <f t="shared" si="5"/>
        <v>197071</v>
      </c>
      <c r="AB25" s="74">
        <f t="shared" si="5"/>
        <v>197071</v>
      </c>
      <c r="AC25" s="74">
        <f t="shared" si="5"/>
        <v>197071</v>
      </c>
      <c r="AD25" s="74">
        <f t="shared" si="5"/>
        <v>197071</v>
      </c>
      <c r="AE25" s="74">
        <f t="shared" si="5"/>
        <v>197071</v>
      </c>
      <c r="AF25" s="74">
        <f t="shared" si="5"/>
        <v>197071</v>
      </c>
    </row>
    <row r="26" spans="1:32" s="74" customFormat="1" x14ac:dyDescent="0.35">
      <c r="A26" s="74" t="s">
        <v>4</v>
      </c>
    </row>
    <row r="27" spans="1:32" s="74" customFormat="1" x14ac:dyDescent="0.35">
      <c r="A27" s="74" t="s">
        <v>565</v>
      </c>
    </row>
    <row r="28" spans="1:32" s="74" customFormat="1" x14ac:dyDescent="0.35">
      <c r="A28" s="74" t="s">
        <v>566</v>
      </c>
      <c r="B28" s="68">
        <f>B22*Hydrogen!B2</f>
        <v>257287.68000000005</v>
      </c>
      <c r="C28" s="68">
        <f>C22*Hydrogen!C2</f>
        <v>230951.17459569691</v>
      </c>
      <c r="D28" s="68">
        <f>D22*Hydrogen!D2</f>
        <v>215011.72389910696</v>
      </c>
      <c r="E28" s="68">
        <f>E22*Hydrogen!E2</f>
        <v>203889.64578628627</v>
      </c>
      <c r="F28" s="68">
        <f>F22*Hydrogen!F2</f>
        <v>195366.15976496332</v>
      </c>
      <c r="G28" s="68">
        <f>G22*Hydrogen!G2</f>
        <v>188974.81930164128</v>
      </c>
      <c r="H28" s="68">
        <f>H22*Hydrogen!H2</f>
        <v>183630.57298338271</v>
      </c>
      <c r="I28" s="68">
        <f>I22*Hydrogen!I2</f>
        <v>179021.15336072995</v>
      </c>
      <c r="J28" s="68">
        <f>J22*Hydrogen!J2</f>
        <v>175067.88092348314</v>
      </c>
      <c r="K28" s="68">
        <f>K22*Hydrogen!K2</f>
        <v>171623.89137007593</v>
      </c>
      <c r="L28" s="68">
        <f>L22*Hydrogen!L2</f>
        <v>168586.11686509254</v>
      </c>
      <c r="M28" s="68">
        <f>M22*Hydrogen!M2</f>
        <v>165971.45122055543</v>
      </c>
      <c r="N28" s="68">
        <f>N22*Hydrogen!N2</f>
        <v>163445.94058668884</v>
      </c>
      <c r="O28" s="68">
        <f>O22*Hydrogen!O2</f>
        <v>161157.32619680342</v>
      </c>
      <c r="P28" s="68">
        <f>P22*Hydrogen!P2</f>
        <v>159065.41599636778</v>
      </c>
      <c r="Q28" s="68">
        <f>Q22*Hydrogen!Q2</f>
        <v>157138.34995381706</v>
      </c>
      <c r="R28" s="68">
        <f>R22*Hydrogen!R2</f>
        <v>155333.96676815182</v>
      </c>
      <c r="S28" s="68">
        <f>S22*Hydrogen!S2</f>
        <v>153654.66708353051</v>
      </c>
      <c r="T28" s="68">
        <f>T22*Hydrogen!T2</f>
        <v>152077.7036389866</v>
      </c>
      <c r="U28" s="68">
        <f>U22*Hydrogen!U2</f>
        <v>150582.01088115294</v>
      </c>
      <c r="V28" s="68">
        <f>V22*Hydrogen!V2</f>
        <v>149152.19190816526</v>
      </c>
      <c r="W28" s="68">
        <f>W22*Hydrogen!W2</f>
        <v>147791.40450825039</v>
      </c>
      <c r="X28" s="68">
        <f>X22*Hydrogen!X2</f>
        <v>146487.60438655943</v>
      </c>
      <c r="Y28" s="68">
        <f>Y22*Hydrogen!Y2</f>
        <v>145232.63620375568</v>
      </c>
      <c r="Z28" s="68">
        <f>Z22*Hydrogen!Z2</f>
        <v>144019.84909405478</v>
      </c>
      <c r="AA28" s="68">
        <f>AA22*Hydrogen!AA2</f>
        <v>142843.58895266883</v>
      </c>
      <c r="AB28" s="68">
        <f>AB22*Hydrogen!AB2</f>
        <v>141699.87239552263</v>
      </c>
      <c r="AC28" s="68">
        <f>AC22*Hydrogen!AC2</f>
        <v>140583.94710699833</v>
      </c>
      <c r="AD28" s="68">
        <f>AD22*Hydrogen!AD2</f>
        <v>139492.38966223539</v>
      </c>
      <c r="AE28" s="68">
        <f>AE22*Hydrogen!AE2</f>
        <v>138422.45846632877</v>
      </c>
      <c r="AF28" s="68">
        <f>AF22*Hydrogen!AF2</f>
        <v>137371.77205388329</v>
      </c>
    </row>
    <row r="29" spans="1:32" s="74" customFormat="1" x14ac:dyDescent="0.35"/>
    <row r="30" spans="1:32" s="74" customFormat="1" x14ac:dyDescent="0.35">
      <c r="A30" s="1" t="s">
        <v>1340</v>
      </c>
    </row>
    <row r="31" spans="1:32" s="74" customFormat="1" x14ac:dyDescent="0.35">
      <c r="A31" s="74" t="s">
        <v>0</v>
      </c>
      <c r="B31" s="69">
        <f t="shared" ref="B31" si="6">D69</f>
        <v>275112.64</v>
      </c>
      <c r="C31" s="68">
        <f>$B$31-C79</f>
        <v>246983.29000000004</v>
      </c>
      <c r="D31" s="68">
        <f t="shared" ref="D31:AF31" si="7">$B$31-D79</f>
        <v>228698.74000000002</v>
      </c>
      <c r="E31" s="68">
        <f t="shared" si="7"/>
        <v>215557.54</v>
      </c>
      <c r="F31" s="68">
        <f t="shared" si="7"/>
        <v>205257.64</v>
      </c>
      <c r="G31" s="68">
        <f t="shared" si="7"/>
        <v>197633.89</v>
      </c>
      <c r="H31" s="68">
        <f t="shared" si="7"/>
        <v>191171.14</v>
      </c>
      <c r="I31" s="68">
        <f t="shared" si="7"/>
        <v>185518.09000000003</v>
      </c>
      <c r="J31" s="68">
        <f t="shared" si="7"/>
        <v>180658.24</v>
      </c>
      <c r="K31" s="68">
        <f t="shared" si="7"/>
        <v>176418.64</v>
      </c>
      <c r="L31" s="68">
        <f t="shared" si="7"/>
        <v>172677.19</v>
      </c>
      <c r="M31" s="68">
        <f t="shared" si="7"/>
        <v>169363.09000000003</v>
      </c>
      <c r="N31" s="68">
        <f t="shared" si="7"/>
        <v>166459.99000000002</v>
      </c>
      <c r="O31" s="68">
        <f t="shared" si="7"/>
        <v>163950.04</v>
      </c>
      <c r="P31" s="68">
        <f t="shared" si="7"/>
        <v>161767.24000000002</v>
      </c>
      <c r="Q31" s="68">
        <f t="shared" si="7"/>
        <v>159859.24</v>
      </c>
      <c r="R31" s="68">
        <f t="shared" si="7"/>
        <v>158153.74</v>
      </c>
      <c r="S31" s="68">
        <f t="shared" si="7"/>
        <v>156658.54</v>
      </c>
      <c r="T31" s="68">
        <f t="shared" si="7"/>
        <v>155335.24000000002</v>
      </c>
      <c r="U31" s="68">
        <f t="shared" si="7"/>
        <v>154147.69</v>
      </c>
      <c r="V31" s="68">
        <f t="shared" si="7"/>
        <v>153069.49</v>
      </c>
      <c r="W31" s="68">
        <f t="shared" si="7"/>
        <v>152108.44</v>
      </c>
      <c r="X31" s="68">
        <f t="shared" si="7"/>
        <v>151243.84000000003</v>
      </c>
      <c r="Y31" s="68">
        <f t="shared" si="7"/>
        <v>150461.89000000001</v>
      </c>
      <c r="Z31" s="68">
        <f t="shared" si="7"/>
        <v>149751.34000000003</v>
      </c>
      <c r="AA31" s="68">
        <f t="shared" si="7"/>
        <v>149102.59000000003</v>
      </c>
      <c r="AB31" s="68">
        <f t="shared" si="7"/>
        <v>148509.04</v>
      </c>
      <c r="AC31" s="68">
        <f t="shared" si="7"/>
        <v>147962.44</v>
      </c>
      <c r="AD31" s="68">
        <f t="shared" si="7"/>
        <v>147456.94</v>
      </c>
      <c r="AE31" s="68">
        <f t="shared" si="7"/>
        <v>146987.89000000001</v>
      </c>
      <c r="AF31" s="68">
        <f t="shared" si="7"/>
        <v>146551.24000000002</v>
      </c>
    </row>
    <row r="32" spans="1:32" s="74" customFormat="1" x14ac:dyDescent="0.35">
      <c r="A32" s="74" t="s">
        <v>1</v>
      </c>
      <c r="B32" s="69">
        <f>B34</f>
        <v>145000</v>
      </c>
      <c r="C32" s="69">
        <f t="shared" ref="C32:AF32" si="8">C34</f>
        <v>145000</v>
      </c>
      <c r="D32" s="69">
        <f t="shared" si="8"/>
        <v>145000</v>
      </c>
      <c r="E32" s="69">
        <f t="shared" si="8"/>
        <v>145000</v>
      </c>
      <c r="F32" s="69">
        <f t="shared" si="8"/>
        <v>155101</v>
      </c>
      <c r="G32" s="69">
        <f t="shared" si="8"/>
        <v>165202</v>
      </c>
      <c r="H32" s="69">
        <f t="shared" si="8"/>
        <v>175303</v>
      </c>
      <c r="I32" s="69">
        <f t="shared" si="8"/>
        <v>187745</v>
      </c>
      <c r="J32" s="69">
        <f t="shared" si="8"/>
        <v>200187</v>
      </c>
      <c r="K32" s="69">
        <f t="shared" si="8"/>
        <v>212629</v>
      </c>
      <c r="L32" s="69">
        <f t="shared" si="8"/>
        <v>225071</v>
      </c>
      <c r="M32" s="69">
        <f t="shared" si="8"/>
        <v>225071</v>
      </c>
      <c r="N32" s="69">
        <f t="shared" si="8"/>
        <v>225071</v>
      </c>
      <c r="O32" s="69">
        <f t="shared" si="8"/>
        <v>225071</v>
      </c>
      <c r="P32" s="69">
        <f t="shared" si="8"/>
        <v>225071</v>
      </c>
      <c r="Q32" s="69">
        <f t="shared" si="8"/>
        <v>225071</v>
      </c>
      <c r="R32" s="69">
        <f t="shared" si="8"/>
        <v>225071</v>
      </c>
      <c r="S32" s="69">
        <f t="shared" si="8"/>
        <v>225071</v>
      </c>
      <c r="T32" s="69">
        <f t="shared" si="8"/>
        <v>225071</v>
      </c>
      <c r="U32" s="69">
        <f t="shared" si="8"/>
        <v>225071</v>
      </c>
      <c r="V32" s="69">
        <f t="shared" si="8"/>
        <v>225071</v>
      </c>
      <c r="W32" s="69">
        <f t="shared" si="8"/>
        <v>225071</v>
      </c>
      <c r="X32" s="69">
        <f t="shared" si="8"/>
        <v>225071</v>
      </c>
      <c r="Y32" s="69">
        <f t="shared" si="8"/>
        <v>225071</v>
      </c>
      <c r="Z32" s="69">
        <f t="shared" si="8"/>
        <v>225071</v>
      </c>
      <c r="AA32" s="69">
        <f t="shared" si="8"/>
        <v>225071</v>
      </c>
      <c r="AB32" s="69">
        <f t="shared" si="8"/>
        <v>225071</v>
      </c>
      <c r="AC32" s="69">
        <f t="shared" si="8"/>
        <v>225071</v>
      </c>
      <c r="AD32" s="69">
        <f t="shared" si="8"/>
        <v>225071</v>
      </c>
      <c r="AE32" s="69">
        <f t="shared" si="8"/>
        <v>225071</v>
      </c>
      <c r="AF32" s="69">
        <f t="shared" si="8"/>
        <v>225071</v>
      </c>
    </row>
    <row r="33" spans="1:32" s="74" customFormat="1" x14ac:dyDescent="0.35">
      <c r="A33" s="74" t="s">
        <v>2</v>
      </c>
    </row>
    <row r="34" spans="1:32" s="74" customFormat="1" x14ac:dyDescent="0.35">
      <c r="A34" s="74" t="s">
        <v>3</v>
      </c>
      <c r="B34" s="174">
        <f t="shared" ref="B34:L34" si="9">B73</f>
        <v>145000</v>
      </c>
      <c r="C34" s="174">
        <f t="shared" si="9"/>
        <v>145000</v>
      </c>
      <c r="D34" s="174">
        <f t="shared" si="9"/>
        <v>145000</v>
      </c>
      <c r="E34" s="174">
        <f t="shared" si="9"/>
        <v>145000</v>
      </c>
      <c r="F34" s="174">
        <f t="shared" si="9"/>
        <v>155101</v>
      </c>
      <c r="G34" s="174">
        <f t="shared" si="9"/>
        <v>165202</v>
      </c>
      <c r="H34" s="174">
        <f t="shared" si="9"/>
        <v>175303</v>
      </c>
      <c r="I34" s="174">
        <f t="shared" si="9"/>
        <v>187745</v>
      </c>
      <c r="J34" s="174">
        <f t="shared" si="9"/>
        <v>200187</v>
      </c>
      <c r="K34" s="174">
        <f t="shared" si="9"/>
        <v>212629</v>
      </c>
      <c r="L34" s="174">
        <f t="shared" si="9"/>
        <v>225071</v>
      </c>
      <c r="M34" s="174">
        <f>L34</f>
        <v>225071</v>
      </c>
      <c r="N34" s="174">
        <f t="shared" ref="N34:AF34" si="10">M34</f>
        <v>225071</v>
      </c>
      <c r="O34" s="174">
        <f t="shared" si="10"/>
        <v>225071</v>
      </c>
      <c r="P34" s="174">
        <f t="shared" si="10"/>
        <v>225071</v>
      </c>
      <c r="Q34" s="174">
        <f t="shared" si="10"/>
        <v>225071</v>
      </c>
      <c r="R34" s="174">
        <f t="shared" si="10"/>
        <v>225071</v>
      </c>
      <c r="S34" s="174">
        <f t="shared" si="10"/>
        <v>225071</v>
      </c>
      <c r="T34" s="174">
        <f t="shared" si="10"/>
        <v>225071</v>
      </c>
      <c r="U34" s="174">
        <f t="shared" si="10"/>
        <v>225071</v>
      </c>
      <c r="V34" s="174">
        <f t="shared" si="10"/>
        <v>225071</v>
      </c>
      <c r="W34" s="174">
        <f t="shared" si="10"/>
        <v>225071</v>
      </c>
      <c r="X34" s="174">
        <f t="shared" si="10"/>
        <v>225071</v>
      </c>
      <c r="Y34" s="174">
        <f t="shared" si="10"/>
        <v>225071</v>
      </c>
      <c r="Z34" s="174">
        <f t="shared" si="10"/>
        <v>225071</v>
      </c>
      <c r="AA34" s="174">
        <f t="shared" si="10"/>
        <v>225071</v>
      </c>
      <c r="AB34" s="174">
        <f t="shared" si="10"/>
        <v>225071</v>
      </c>
      <c r="AC34" s="174">
        <f t="shared" si="10"/>
        <v>225071</v>
      </c>
      <c r="AD34" s="174">
        <f t="shared" si="10"/>
        <v>225071</v>
      </c>
      <c r="AE34" s="174">
        <f t="shared" si="10"/>
        <v>225071</v>
      </c>
      <c r="AF34" s="174">
        <f t="shared" si="10"/>
        <v>225071</v>
      </c>
    </row>
    <row r="35" spans="1:32" s="74" customFormat="1" x14ac:dyDescent="0.35">
      <c r="A35" s="74" t="s">
        <v>4</v>
      </c>
    </row>
    <row r="36" spans="1:32" s="74" customFormat="1" x14ac:dyDescent="0.35">
      <c r="A36" s="74" t="s">
        <v>565</v>
      </c>
    </row>
    <row r="37" spans="1:32" s="74" customFormat="1" x14ac:dyDescent="0.35">
      <c r="A37" s="74" t="s">
        <v>566</v>
      </c>
      <c r="B37" s="68">
        <f>B31*Hydrogen!B2</f>
        <v>353716.25142857147</v>
      </c>
      <c r="C37" s="68">
        <f>C31*Hydrogen!C2</f>
        <v>306593.41493474355</v>
      </c>
      <c r="D37" s="68">
        <f>D31*Hydrogen!D2</f>
        <v>277961.15738817479</v>
      </c>
      <c r="E37" s="68">
        <f>E31*Hydrogen!E2</f>
        <v>258020.53163070057</v>
      </c>
      <c r="F37" s="68">
        <f>F31*Hydrogen!F2</f>
        <v>242760.31663150404</v>
      </c>
      <c r="G37" s="68">
        <f>G31*Hydrogen!G2</f>
        <v>231437.52250802168</v>
      </c>
      <c r="H37" s="68">
        <f>H31*Hydrogen!H2</f>
        <v>221983.34657620743</v>
      </c>
      <c r="I37" s="68">
        <f>I31*Hydrogen!I2</f>
        <v>213833.72109436628</v>
      </c>
      <c r="J37" s="68">
        <f>J31*Hydrogen!J2</f>
        <v>206870.28959831648</v>
      </c>
      <c r="K37" s="68">
        <f>K31*Hydrogen!K2</f>
        <v>200825.95415650762</v>
      </c>
      <c r="L37" s="68">
        <f>L31*Hydrogen!L2</f>
        <v>195513.57367224921</v>
      </c>
      <c r="M37" s="68">
        <f>M31*Hydrogen!M2</f>
        <v>190911.74563348593</v>
      </c>
      <c r="N37" s="68">
        <f>N31*Hydrogen!N2</f>
        <v>186623.8928914612</v>
      </c>
      <c r="O37" s="68">
        <f>O31*Hydrogen!O2</f>
        <v>182809.83263739868</v>
      </c>
      <c r="P37" s="68">
        <f>P31*Hydrogen!P2</f>
        <v>179389.18076223589</v>
      </c>
      <c r="Q37" s="68">
        <f>Q31*Hydrogen!Q2</f>
        <v>176298.21720284282</v>
      </c>
      <c r="R37" s="68">
        <f>R31*Hydrogen!R2</f>
        <v>173452.61935722074</v>
      </c>
      <c r="S37" s="68">
        <f>S31*Hydrogen!S2</f>
        <v>170857.1885136865</v>
      </c>
      <c r="T37" s="68">
        <f>T31*Hydrogen!T2</f>
        <v>168466.43015030716</v>
      </c>
      <c r="U37" s="68">
        <f>U31*Hydrogen!U2</f>
        <v>166238.21316034818</v>
      </c>
      <c r="V37" s="68">
        <f>V31*Hydrogen!V2</f>
        <v>164141.74374008123</v>
      </c>
      <c r="W37" s="68">
        <f>W31*Hydrogen!W2</f>
        <v>162183.33746595989</v>
      </c>
      <c r="X37" s="68">
        <f>X31*Hydrogen!X2</f>
        <v>160338.90574828634</v>
      </c>
      <c r="Y37" s="68">
        <f>Y31*Hydrogen!Y2</f>
        <v>158592.13790838729</v>
      </c>
      <c r="Z37" s="68">
        <f>Z31*Hydrogen!Z2</f>
        <v>156929.73221469391</v>
      </c>
      <c r="AA37" s="68">
        <f>AA31*Hydrogen!AA2</f>
        <v>155340.38045763035</v>
      </c>
      <c r="AB37" s="68">
        <f>AB31*Hydrogen!AB2</f>
        <v>153816.11586904636</v>
      </c>
      <c r="AC37" s="68">
        <f>AC31*Hydrogen!AC2</f>
        <v>152347.43381770619</v>
      </c>
      <c r="AD37" s="68">
        <f>AD31*Hydrogen!AD2</f>
        <v>150927.48745388878</v>
      </c>
      <c r="AE37" s="68">
        <f>AE31*Hydrogen!AE2</f>
        <v>149550.7935877839</v>
      </c>
      <c r="AF37" s="68">
        <f>AF31*Hydrogen!AF2</f>
        <v>148212.58928860139</v>
      </c>
    </row>
    <row r="38" spans="1:32" s="74" customFormat="1" x14ac:dyDescent="0.35"/>
    <row r="39" spans="1:32" s="74" customFormat="1" x14ac:dyDescent="0.35">
      <c r="A39" s="1" t="s">
        <v>1304</v>
      </c>
      <c r="B39" s="74" t="s">
        <v>1303</v>
      </c>
    </row>
    <row r="40" spans="1:32" s="74" customFormat="1" x14ac:dyDescent="0.35">
      <c r="A40" s="74" t="s">
        <v>1303</v>
      </c>
      <c r="B40" s="70">
        <f>C52</f>
        <v>284599.03999999998</v>
      </c>
    </row>
    <row r="41" spans="1:32" s="74" customFormat="1" x14ac:dyDescent="0.35">
      <c r="A41" s="74" t="str">
        <f>A54</f>
        <v>Sleeper / long haul</v>
      </c>
      <c r="B41" s="70">
        <f>C53</f>
        <v>209599.03999999998</v>
      </c>
    </row>
    <row r="42" spans="1:32" s="74" customFormat="1" x14ac:dyDescent="0.35">
      <c r="A42" s="74" t="str">
        <f>A55</f>
        <v>Day cab</v>
      </c>
    </row>
    <row r="43" spans="1:32" s="74" customFormat="1" x14ac:dyDescent="0.35"/>
    <row r="44" spans="1:32" s="74" customFormat="1" x14ac:dyDescent="0.35">
      <c r="B44" s="73"/>
      <c r="C44" s="73"/>
      <c r="D44" s="73"/>
      <c r="G44" s="13" t="s">
        <v>1283</v>
      </c>
    </row>
    <row r="45" spans="1:32" x14ac:dyDescent="0.35">
      <c r="A45" s="72" t="s">
        <v>1286</v>
      </c>
      <c r="B45" t="s">
        <v>1270</v>
      </c>
      <c r="C45" s="70">
        <v>248000</v>
      </c>
      <c r="D45" s="70"/>
    </row>
    <row r="46" spans="1:32" x14ac:dyDescent="0.35">
      <c r="B46" t="s">
        <v>1272</v>
      </c>
      <c r="C46" s="70"/>
      <c r="D46" s="70">
        <v>150000</v>
      </c>
    </row>
    <row r="47" spans="1:32" s="74" customFormat="1" x14ac:dyDescent="0.35">
      <c r="A47" s="74" t="s">
        <v>1276</v>
      </c>
      <c r="B47" s="74" t="s">
        <v>1277</v>
      </c>
      <c r="C47" s="70"/>
      <c r="D47" s="70">
        <f>D46/2</f>
        <v>75000</v>
      </c>
    </row>
    <row r="48" spans="1:32" x14ac:dyDescent="0.35">
      <c r="A48" s="74" t="s">
        <v>1275</v>
      </c>
      <c r="B48" s="74" t="s">
        <v>1287</v>
      </c>
      <c r="C48" s="70"/>
      <c r="D48" s="70">
        <f>C45-D46</f>
        <v>98000</v>
      </c>
    </row>
    <row r="49" spans="1:5" x14ac:dyDescent="0.35">
      <c r="A49" s="74"/>
      <c r="B49" t="s">
        <v>1271</v>
      </c>
      <c r="C49" s="70">
        <f>'HDV frt'!C61</f>
        <v>36599.040000000001</v>
      </c>
      <c r="D49" s="70"/>
    </row>
    <row r="50" spans="1:5" s="74" customFormat="1" x14ac:dyDescent="0.35">
      <c r="C50" s="70"/>
      <c r="D50" s="70"/>
    </row>
    <row r="51" spans="1:5" s="74" customFormat="1" x14ac:dyDescent="0.35">
      <c r="C51" s="70"/>
      <c r="D51" s="70"/>
    </row>
    <row r="52" spans="1:5" x14ac:dyDescent="0.35">
      <c r="B52" t="s">
        <v>1273</v>
      </c>
      <c r="C52" s="70">
        <f>SUM(C45:C49)</f>
        <v>284599.03999999998</v>
      </c>
      <c r="D52" s="70"/>
    </row>
    <row r="53" spans="1:5" x14ac:dyDescent="0.35">
      <c r="A53" s="1" t="s">
        <v>1289</v>
      </c>
      <c r="B53" t="s">
        <v>1274</v>
      </c>
      <c r="C53" s="70">
        <f>C52-D46/2</f>
        <v>209599.03999999998</v>
      </c>
      <c r="D53" s="70"/>
    </row>
    <row r="54" spans="1:5" s="74" customFormat="1" x14ac:dyDescent="0.35">
      <c r="A54" t="s">
        <v>1276</v>
      </c>
    </row>
    <row r="55" spans="1:5" x14ac:dyDescent="0.35">
      <c r="A55" t="s">
        <v>1275</v>
      </c>
      <c r="B55" s="13" t="s">
        <v>1283</v>
      </c>
      <c r="C55" s="13" t="s">
        <v>1282</v>
      </c>
      <c r="D55" t="s">
        <v>1284</v>
      </c>
    </row>
    <row r="56" spans="1:5" s="74" customFormat="1" x14ac:dyDescent="0.35">
      <c r="B56" t="s">
        <v>1279</v>
      </c>
      <c r="C56" s="74" t="s">
        <v>1281</v>
      </c>
    </row>
    <row r="57" spans="1:5" x14ac:dyDescent="0.35">
      <c r="B57">
        <v>0.04</v>
      </c>
      <c r="C57">
        <v>0.08</v>
      </c>
      <c r="D57" s="50">
        <f>B57*C57</f>
        <v>3.2000000000000002E-3</v>
      </c>
    </row>
    <row r="58" spans="1:5" x14ac:dyDescent="0.35">
      <c r="A58" t="s">
        <v>1278</v>
      </c>
      <c r="B58">
        <v>0.12</v>
      </c>
      <c r="C58">
        <v>0.78</v>
      </c>
      <c r="D58" s="50">
        <f>B58*C58</f>
        <v>9.3600000000000003E-2</v>
      </c>
    </row>
    <row r="59" spans="1:5" x14ac:dyDescent="0.35">
      <c r="A59" t="s">
        <v>1280</v>
      </c>
      <c r="D59" s="50">
        <f>D57+D58</f>
        <v>9.6799999999999997E-2</v>
      </c>
      <c r="E59" t="s">
        <v>758</v>
      </c>
    </row>
    <row r="60" spans="1:5" x14ac:dyDescent="0.35">
      <c r="D60">
        <f>(D59)*D48</f>
        <v>9486.4</v>
      </c>
      <c r="E60" t="s">
        <v>1285</v>
      </c>
    </row>
    <row r="61" spans="1:5" x14ac:dyDescent="0.35">
      <c r="C61" s="70">
        <f>C62*101664</f>
        <v>36599.040000000001</v>
      </c>
    </row>
    <row r="62" spans="1:5" s="74" customFormat="1" x14ac:dyDescent="0.35">
      <c r="A62" t="s">
        <v>1269</v>
      </c>
      <c r="B62"/>
      <c r="C62">
        <v>0.36</v>
      </c>
    </row>
    <row r="63" spans="1:5" s="74" customFormat="1" x14ac:dyDescent="0.35">
      <c r="A63" t="s">
        <v>1291</v>
      </c>
    </row>
    <row r="64" spans="1:5" s="74" customFormat="1" x14ac:dyDescent="0.35"/>
    <row r="65" spans="1:32" x14ac:dyDescent="0.35">
      <c r="A65" s="72" t="s">
        <v>1288</v>
      </c>
      <c r="B65" s="72"/>
      <c r="C65" s="72"/>
      <c r="D65" s="72"/>
    </row>
    <row r="66" spans="1:32" x14ac:dyDescent="0.35">
      <c r="A66" s="74" t="s">
        <v>1292</v>
      </c>
      <c r="B66" s="74"/>
      <c r="C66" s="74"/>
      <c r="D66" s="77">
        <f>D48-D60</f>
        <v>88513.600000000006</v>
      </c>
    </row>
    <row r="67" spans="1:32" s="74" customFormat="1" x14ac:dyDescent="0.35">
      <c r="D67" s="77"/>
    </row>
    <row r="68" spans="1:32" x14ac:dyDescent="0.35">
      <c r="A68" s="1" t="s">
        <v>1290</v>
      </c>
    </row>
    <row r="69" spans="1:32" x14ac:dyDescent="0.35">
      <c r="B69" s="74" t="s">
        <v>1273</v>
      </c>
      <c r="D69" s="67">
        <f>D46+C49+D66</f>
        <v>275112.64</v>
      </c>
    </row>
    <row r="70" spans="1:32" x14ac:dyDescent="0.35">
      <c r="A70" s="74" t="s">
        <v>1276</v>
      </c>
      <c r="B70" s="74" t="s">
        <v>1274</v>
      </c>
      <c r="D70" s="67">
        <f>D47+C49+D66</f>
        <v>200112.64000000001</v>
      </c>
    </row>
    <row r="71" spans="1:32" x14ac:dyDescent="0.35">
      <c r="A71" s="74" t="s">
        <v>1275</v>
      </c>
    </row>
    <row r="72" spans="1:32" x14ac:dyDescent="0.35">
      <c r="A72" s="1"/>
      <c r="B72">
        <v>2020</v>
      </c>
      <c r="C72" s="74">
        <f>B72+1</f>
        <v>2021</v>
      </c>
      <c r="D72" s="74">
        <f t="shared" ref="D72:F72" si="11">C72+1</f>
        <v>2022</v>
      </c>
      <c r="E72" s="74">
        <f t="shared" si="11"/>
        <v>2023</v>
      </c>
      <c r="F72" s="74">
        <f t="shared" si="11"/>
        <v>2024</v>
      </c>
      <c r="G72">
        <v>2025</v>
      </c>
      <c r="H72">
        <v>2026</v>
      </c>
      <c r="I72" s="74">
        <f>H72+1</f>
        <v>2027</v>
      </c>
      <c r="J72" s="74">
        <f t="shared" ref="J72:L72" si="12">I72+1</f>
        <v>2028</v>
      </c>
      <c r="K72" s="74">
        <f t="shared" si="12"/>
        <v>2029</v>
      </c>
      <c r="L72" s="74">
        <f t="shared" si="12"/>
        <v>2030</v>
      </c>
      <c r="M72" s="74"/>
      <c r="N72" s="74"/>
    </row>
    <row r="73" spans="1:32" s="74" customFormat="1" x14ac:dyDescent="0.35">
      <c r="A73" s="17" t="s">
        <v>1348</v>
      </c>
      <c r="B73" s="174">
        <v>145000</v>
      </c>
      <c r="C73" s="174">
        <f>B73</f>
        <v>145000</v>
      </c>
      <c r="D73" s="174">
        <f t="shared" ref="D73:E73" si="13">C73</f>
        <v>145000</v>
      </c>
      <c r="E73" s="174">
        <f t="shared" si="13"/>
        <v>145000</v>
      </c>
      <c r="F73" s="174">
        <f>E73+CARB!C21</f>
        <v>155101</v>
      </c>
      <c r="G73" s="68">
        <f>F73+CARB!C21</f>
        <v>165202</v>
      </c>
      <c r="H73" s="68">
        <f>G73+CARB!C21</f>
        <v>175303</v>
      </c>
      <c r="I73" s="68">
        <f>H73+CARB!$D$21</f>
        <v>187745</v>
      </c>
      <c r="J73" s="68">
        <f>I73+CARB!$D$21</f>
        <v>200187</v>
      </c>
      <c r="K73" s="68">
        <f>J73+CARB!$D$21</f>
        <v>212629</v>
      </c>
      <c r="L73" s="68">
        <f>K73+CARB!$D$21</f>
        <v>225071</v>
      </c>
      <c r="M73" s="68"/>
      <c r="N73" s="68"/>
    </row>
    <row r="74" spans="1:32" s="74" customFormat="1" x14ac:dyDescent="0.35">
      <c r="A74" s="17" t="s">
        <v>1347</v>
      </c>
      <c r="B74" s="74">
        <f>117000</f>
        <v>117000</v>
      </c>
      <c r="C74" s="174">
        <f>B74</f>
        <v>117000</v>
      </c>
      <c r="D74" s="174">
        <f t="shared" ref="D74:F74" si="14">C74</f>
        <v>117000</v>
      </c>
      <c r="E74" s="174">
        <f>D74+CARB!C21</f>
        <v>127101</v>
      </c>
      <c r="F74" s="174">
        <f t="shared" si="14"/>
        <v>127101</v>
      </c>
      <c r="G74" s="68">
        <f>F74+CARB!C21</f>
        <v>137202</v>
      </c>
      <c r="H74" s="68">
        <f>G74+CARB!C21</f>
        <v>147303</v>
      </c>
      <c r="I74" s="68">
        <f>H74+CARB!$D$21</f>
        <v>159745</v>
      </c>
      <c r="J74" s="68">
        <f>I74+CARB!$D$21</f>
        <v>172187</v>
      </c>
      <c r="K74" s="68">
        <f>J74+CARB!$D$21</f>
        <v>184629</v>
      </c>
      <c r="L74" s="68">
        <f>K74+CARB!$D$21</f>
        <v>197071</v>
      </c>
      <c r="M74" s="68"/>
      <c r="N74" s="68"/>
    </row>
    <row r="75" spans="1:32" s="74" customFormat="1" x14ac:dyDescent="0.35">
      <c r="A75" s="17"/>
      <c r="C75" s="174"/>
      <c r="D75" s="174"/>
      <c r="E75" s="174"/>
      <c r="F75" s="174"/>
      <c r="G75" s="68"/>
      <c r="H75" s="68"/>
      <c r="I75" s="68"/>
      <c r="J75" s="68"/>
      <c r="K75" s="68"/>
      <c r="L75" s="68"/>
      <c r="M75" s="68"/>
      <c r="N75" s="68"/>
    </row>
    <row r="76" spans="1:32" s="74" customFormat="1" x14ac:dyDescent="0.35">
      <c r="A76" s="1"/>
    </row>
    <row r="77" spans="1:32" s="74" customFormat="1" x14ac:dyDescent="0.35">
      <c r="A77" s="74" t="s">
        <v>1341</v>
      </c>
      <c r="B77" s="69">
        <f>D46</f>
        <v>150000</v>
      </c>
      <c r="C77" s="68">
        <f>$B$77-C79</f>
        <v>121870.65000000001</v>
      </c>
      <c r="D77" s="68">
        <f t="shared" ref="D77:AF77" si="15">$B$77-D79</f>
        <v>103586.1</v>
      </c>
      <c r="E77" s="68">
        <f t="shared" si="15"/>
        <v>90444.9</v>
      </c>
      <c r="F77" s="68">
        <f t="shared" si="15"/>
        <v>80145</v>
      </c>
      <c r="G77" s="68">
        <f t="shared" si="15"/>
        <v>72521.25</v>
      </c>
      <c r="H77" s="68">
        <f t="shared" si="15"/>
        <v>66058.500000000015</v>
      </c>
      <c r="I77" s="68">
        <f t="shared" si="15"/>
        <v>60405.450000000012</v>
      </c>
      <c r="J77" s="68">
        <f t="shared" si="15"/>
        <v>55545.599999999991</v>
      </c>
      <c r="K77" s="68">
        <f t="shared" si="15"/>
        <v>51306</v>
      </c>
      <c r="L77" s="68">
        <f t="shared" si="15"/>
        <v>47564.549999999988</v>
      </c>
      <c r="M77" s="68">
        <f t="shared" si="15"/>
        <v>44250.45</v>
      </c>
      <c r="N77" s="68">
        <f t="shared" si="15"/>
        <v>41347.350000000006</v>
      </c>
      <c r="O77" s="68">
        <f t="shared" si="15"/>
        <v>38837.399999999994</v>
      </c>
      <c r="P77" s="68">
        <f t="shared" si="15"/>
        <v>36654.600000000006</v>
      </c>
      <c r="Q77" s="68">
        <f t="shared" si="15"/>
        <v>34746.599999999991</v>
      </c>
      <c r="R77" s="68">
        <f t="shared" si="15"/>
        <v>33041.099999999991</v>
      </c>
      <c r="S77" s="68">
        <f t="shared" si="15"/>
        <v>31545.899999999994</v>
      </c>
      <c r="T77" s="68">
        <f t="shared" si="15"/>
        <v>30222.600000000006</v>
      </c>
      <c r="U77" s="68">
        <f t="shared" si="15"/>
        <v>29035.050000000003</v>
      </c>
      <c r="V77" s="68">
        <f t="shared" si="15"/>
        <v>27956.849999999991</v>
      </c>
      <c r="W77" s="68">
        <f t="shared" si="15"/>
        <v>26995.800000000003</v>
      </c>
      <c r="X77" s="68">
        <f t="shared" si="15"/>
        <v>26131.200000000012</v>
      </c>
      <c r="Y77" s="68">
        <f t="shared" si="15"/>
        <v>25349.25</v>
      </c>
      <c r="Z77" s="68">
        <f t="shared" si="15"/>
        <v>24638.699999999997</v>
      </c>
      <c r="AA77" s="68">
        <f t="shared" si="15"/>
        <v>23989.949999999997</v>
      </c>
      <c r="AB77" s="68">
        <f t="shared" si="15"/>
        <v>23396.399999999994</v>
      </c>
      <c r="AC77" s="68">
        <f t="shared" si="15"/>
        <v>22849.800000000003</v>
      </c>
      <c r="AD77" s="68">
        <f t="shared" si="15"/>
        <v>22344.300000000003</v>
      </c>
      <c r="AE77" s="68">
        <f t="shared" si="15"/>
        <v>21875.249999999985</v>
      </c>
      <c r="AF77" s="68">
        <f t="shared" si="15"/>
        <v>21438.600000000006</v>
      </c>
    </row>
    <row r="78" spans="1:32" s="74" customFormat="1" x14ac:dyDescent="0.35">
      <c r="A78" s="74" t="s">
        <v>1342</v>
      </c>
      <c r="B78" s="69">
        <f>D47</f>
        <v>75000</v>
      </c>
      <c r="C78" s="68">
        <f>$B$78-C80</f>
        <v>60935.325000000004</v>
      </c>
      <c r="D78" s="68">
        <f t="shared" ref="D78:AF78" si="16">$B$78-D80</f>
        <v>51793.05</v>
      </c>
      <c r="E78" s="68">
        <f t="shared" si="16"/>
        <v>45222.45</v>
      </c>
      <c r="F78" s="68">
        <f t="shared" si="16"/>
        <v>40072.5</v>
      </c>
      <c r="G78" s="68">
        <f t="shared" si="16"/>
        <v>36260.625</v>
      </c>
      <c r="H78" s="68">
        <f t="shared" si="16"/>
        <v>33029.250000000007</v>
      </c>
      <c r="I78" s="68">
        <f t="shared" si="16"/>
        <v>30202.725000000006</v>
      </c>
      <c r="J78" s="68">
        <f t="shared" si="16"/>
        <v>27772.799999999996</v>
      </c>
      <c r="K78" s="68">
        <f t="shared" si="16"/>
        <v>25653</v>
      </c>
      <c r="L78" s="68">
        <f t="shared" si="16"/>
        <v>23782.274999999994</v>
      </c>
      <c r="M78" s="68">
        <f t="shared" si="16"/>
        <v>22125.224999999999</v>
      </c>
      <c r="N78" s="68">
        <f t="shared" si="16"/>
        <v>20673.675000000003</v>
      </c>
      <c r="O78" s="68">
        <f t="shared" si="16"/>
        <v>19418.699999999997</v>
      </c>
      <c r="P78" s="68">
        <f t="shared" si="16"/>
        <v>18327.300000000003</v>
      </c>
      <c r="Q78" s="68">
        <f t="shared" si="16"/>
        <v>17373.299999999996</v>
      </c>
      <c r="R78" s="68">
        <f t="shared" si="16"/>
        <v>16520.549999999996</v>
      </c>
      <c r="S78" s="68">
        <f t="shared" si="16"/>
        <v>15772.949999999997</v>
      </c>
      <c r="T78" s="68">
        <f t="shared" si="16"/>
        <v>15111.300000000003</v>
      </c>
      <c r="U78" s="68">
        <f t="shared" si="16"/>
        <v>14517.525000000001</v>
      </c>
      <c r="V78" s="68">
        <f t="shared" si="16"/>
        <v>13978.424999999996</v>
      </c>
      <c r="W78" s="68">
        <f t="shared" si="16"/>
        <v>13497.900000000001</v>
      </c>
      <c r="X78" s="68">
        <f t="shared" si="16"/>
        <v>13065.600000000006</v>
      </c>
      <c r="Y78" s="68">
        <f t="shared" si="16"/>
        <v>12674.625</v>
      </c>
      <c r="Z78" s="68">
        <f t="shared" si="16"/>
        <v>12319.349999999999</v>
      </c>
      <c r="AA78" s="68">
        <f t="shared" si="16"/>
        <v>11994.974999999999</v>
      </c>
      <c r="AB78" s="68">
        <f t="shared" si="16"/>
        <v>11698.199999999997</v>
      </c>
      <c r="AC78" s="68">
        <f t="shared" si="16"/>
        <v>11424.900000000001</v>
      </c>
      <c r="AD78" s="68">
        <f t="shared" si="16"/>
        <v>11172.150000000001</v>
      </c>
      <c r="AE78" s="68">
        <f t="shared" si="16"/>
        <v>10937.624999999993</v>
      </c>
      <c r="AF78" s="68">
        <f t="shared" si="16"/>
        <v>10719.300000000003</v>
      </c>
    </row>
    <row r="79" spans="1:32" s="74" customFormat="1" x14ac:dyDescent="0.35">
      <c r="A79" s="74" t="s">
        <v>1343</v>
      </c>
      <c r="B79" s="69"/>
      <c r="C79" s="68">
        <f>(1-C84)*$B$77</f>
        <v>28129.349999999991</v>
      </c>
      <c r="D79" s="68">
        <f>(1-D84)*$B$77</f>
        <v>46413.899999999994</v>
      </c>
      <c r="E79" s="68">
        <f>(1-E84)*$B$77</f>
        <v>59555.1</v>
      </c>
      <c r="F79" s="68">
        <f>(1-F84)*$B$77</f>
        <v>69855</v>
      </c>
      <c r="G79" s="68">
        <f>(1-G84)*$B$77</f>
        <v>77478.75</v>
      </c>
      <c r="H79" s="68">
        <f>(1-H84)*$B$77</f>
        <v>83941.499999999985</v>
      </c>
      <c r="I79" s="68">
        <f>(1-I84)*$B$77</f>
        <v>89594.549999999988</v>
      </c>
      <c r="J79" s="68">
        <f>(1-J84)*$B$77</f>
        <v>94454.400000000009</v>
      </c>
      <c r="K79" s="68">
        <f>(1-K84)*$B$77</f>
        <v>98694</v>
      </c>
      <c r="L79" s="68">
        <f>(1-L84)*$B$77</f>
        <v>102435.45000000001</v>
      </c>
      <c r="M79" s="68">
        <f>(1-M84)*$B$77</f>
        <v>105749.55</v>
      </c>
      <c r="N79" s="68">
        <f>(1-N84)*$B$77</f>
        <v>108652.65</v>
      </c>
      <c r="O79" s="68">
        <f>(1-O84)*$B$77</f>
        <v>111162.6</v>
      </c>
      <c r="P79" s="68">
        <f>(1-P84)*$B$77</f>
        <v>113345.4</v>
      </c>
      <c r="Q79" s="68">
        <f>(1-Q84)*$B$77</f>
        <v>115253.40000000001</v>
      </c>
      <c r="R79" s="68">
        <f>(1-R84)*$B$77</f>
        <v>116958.90000000001</v>
      </c>
      <c r="S79" s="68">
        <f>(1-S84)*$B$77</f>
        <v>118454.1</v>
      </c>
      <c r="T79" s="68">
        <f>(1-T84)*$B$77</f>
        <v>119777.4</v>
      </c>
      <c r="U79" s="68">
        <f>(1-U84)*$B$77</f>
        <v>120964.95</v>
      </c>
      <c r="V79" s="68">
        <f>(1-V84)*$B$77</f>
        <v>122043.15000000001</v>
      </c>
      <c r="W79" s="68">
        <f>(1-W84)*$B$77</f>
        <v>123004.2</v>
      </c>
      <c r="X79" s="68">
        <f>(1-X84)*$B$77</f>
        <v>123868.79999999999</v>
      </c>
      <c r="Y79" s="68">
        <f>(1-Y84)*$B$77</f>
        <v>124650.75</v>
      </c>
      <c r="Z79" s="68">
        <f>(1-Z84)*$B$77</f>
        <v>125361.3</v>
      </c>
      <c r="AA79" s="68">
        <f>(1-AA84)*$B$77</f>
        <v>126010.05</v>
      </c>
      <c r="AB79" s="68">
        <f>(1-AB84)*$B$77</f>
        <v>126603.6</v>
      </c>
      <c r="AC79" s="68">
        <f>(1-AC84)*$B$77</f>
        <v>127150.2</v>
      </c>
      <c r="AD79" s="68">
        <f>(1-AD84)*$B$77</f>
        <v>127655.7</v>
      </c>
      <c r="AE79" s="68">
        <f>(1-AE84)*$B$77</f>
        <v>128124.75000000001</v>
      </c>
      <c r="AF79" s="68">
        <f>(1-AF84)*$B$77</f>
        <v>128561.4</v>
      </c>
    </row>
    <row r="80" spans="1:32" s="74" customFormat="1" x14ac:dyDescent="0.35">
      <c r="A80" s="74" t="s">
        <v>1344</v>
      </c>
      <c r="B80" s="69"/>
      <c r="C80" s="68">
        <f>(1-C84)*$B$78</f>
        <v>14064.674999999996</v>
      </c>
      <c r="D80" s="68">
        <f>(1-D84)*$B$78</f>
        <v>23206.949999999997</v>
      </c>
      <c r="E80" s="68">
        <f>(1-E84)*$B$78</f>
        <v>29777.55</v>
      </c>
      <c r="F80" s="68">
        <f>(1-F84)*$B$78</f>
        <v>34927.5</v>
      </c>
      <c r="G80" s="68">
        <f>(1-G84)*$B$78</f>
        <v>38739.375</v>
      </c>
      <c r="H80" s="68">
        <f>(1-H84)*$B$78</f>
        <v>41970.749999999993</v>
      </c>
      <c r="I80" s="68">
        <f>(1-I84)*$B$78</f>
        <v>44797.274999999994</v>
      </c>
      <c r="J80" s="68">
        <f>(1-J84)*$B$78</f>
        <v>47227.200000000004</v>
      </c>
      <c r="K80" s="68">
        <f>(1-K84)*$B$78</f>
        <v>49347</v>
      </c>
      <c r="L80" s="68">
        <f>(1-L84)*$B$78</f>
        <v>51217.725000000006</v>
      </c>
      <c r="M80" s="68">
        <f>(1-M84)*$B$78</f>
        <v>52874.775000000001</v>
      </c>
      <c r="N80" s="68">
        <f>(1-N84)*$B$78</f>
        <v>54326.324999999997</v>
      </c>
      <c r="O80" s="68">
        <f>(1-O84)*$B$78</f>
        <v>55581.3</v>
      </c>
      <c r="P80" s="68">
        <f>(1-P84)*$B$78</f>
        <v>56672.7</v>
      </c>
      <c r="Q80" s="68">
        <f>(1-Q84)*$B$78</f>
        <v>57626.700000000004</v>
      </c>
      <c r="R80" s="68">
        <f>(1-R84)*$B$78</f>
        <v>58479.450000000004</v>
      </c>
      <c r="S80" s="68">
        <f>(1-S84)*$B$78</f>
        <v>59227.05</v>
      </c>
      <c r="T80" s="68">
        <f>(1-T84)*$B$78</f>
        <v>59888.7</v>
      </c>
      <c r="U80" s="68">
        <f>(1-U84)*$B$78</f>
        <v>60482.474999999999</v>
      </c>
      <c r="V80" s="68">
        <f>(1-V84)*$B$78</f>
        <v>61021.575000000004</v>
      </c>
      <c r="W80" s="68">
        <f>(1-W84)*$B$78</f>
        <v>61502.1</v>
      </c>
      <c r="X80" s="68">
        <f>(1-X84)*$B$78</f>
        <v>61934.399999999994</v>
      </c>
      <c r="Y80" s="68">
        <f>(1-Y84)*$B$78</f>
        <v>62325.375</v>
      </c>
      <c r="Z80" s="68">
        <f>(1-Z84)*$B$78</f>
        <v>62680.65</v>
      </c>
      <c r="AA80" s="68">
        <f>(1-AA84)*$B$78</f>
        <v>63005.025000000001</v>
      </c>
      <c r="AB80" s="68">
        <f>(1-AB84)*$B$78</f>
        <v>63301.8</v>
      </c>
      <c r="AC80" s="68">
        <f>(1-AC84)*$B$78</f>
        <v>63575.1</v>
      </c>
      <c r="AD80" s="68">
        <f>(1-AD84)*$B$78</f>
        <v>63827.85</v>
      </c>
      <c r="AE80" s="68">
        <f>(1-AE84)*$B$78</f>
        <v>64062.375000000007</v>
      </c>
      <c r="AF80" s="68">
        <f>(1-AF84)*$B$78</f>
        <v>64280.7</v>
      </c>
    </row>
    <row r="81" spans="1:32" s="74" customFormat="1" x14ac:dyDescent="0.35">
      <c r="B81" s="69"/>
      <c r="C81" s="68"/>
      <c r="D81" s="68"/>
      <c r="E81" s="68"/>
      <c r="F81" s="68"/>
      <c r="G81" s="68"/>
      <c r="H81" s="68"/>
      <c r="I81" s="68"/>
      <c r="J81" s="68"/>
      <c r="K81" s="68"/>
      <c r="L81" s="68"/>
      <c r="M81" s="68"/>
      <c r="N81" s="68"/>
      <c r="O81" s="68"/>
      <c r="P81" s="68"/>
      <c r="Q81" s="68"/>
      <c r="R81" s="68"/>
      <c r="S81" s="68"/>
      <c r="T81" s="68"/>
      <c r="U81" s="68"/>
      <c r="V81" s="68"/>
      <c r="W81" s="68"/>
      <c r="X81" s="68"/>
      <c r="Y81" s="68"/>
      <c r="Z81" s="68"/>
      <c r="AA81" s="68"/>
      <c r="AB81" s="68"/>
      <c r="AC81" s="68"/>
      <c r="AD81" s="68"/>
      <c r="AE81" s="68"/>
      <c r="AF81" s="68"/>
    </row>
    <row r="82" spans="1:32" s="74" customFormat="1" x14ac:dyDescent="0.35">
      <c r="A82" t="s">
        <v>1307</v>
      </c>
      <c r="B82"/>
      <c r="C82"/>
      <c r="D82"/>
      <c r="E82"/>
      <c r="F82"/>
      <c r="G82"/>
      <c r="H82"/>
      <c r="I82"/>
      <c r="J82"/>
      <c r="K82"/>
      <c r="L82"/>
      <c r="M82"/>
      <c r="N82"/>
      <c r="O82"/>
      <c r="P82"/>
      <c r="Q82"/>
      <c r="R82"/>
      <c r="S82"/>
      <c r="T82"/>
      <c r="U82"/>
      <c r="V82"/>
      <c r="W82"/>
      <c r="X82"/>
      <c r="Y82"/>
      <c r="Z82"/>
      <c r="AA82"/>
      <c r="AB82"/>
      <c r="AC82"/>
      <c r="AD82"/>
      <c r="AE82"/>
      <c r="AF82"/>
    </row>
    <row r="83" spans="1:32" s="74" customFormat="1" x14ac:dyDescent="0.35">
      <c r="A83" t="s">
        <v>1305</v>
      </c>
      <c r="B83">
        <v>2020</v>
      </c>
      <c r="C83">
        <v>2021</v>
      </c>
      <c r="D83">
        <v>2022</v>
      </c>
      <c r="E83">
        <v>2023</v>
      </c>
      <c r="F83">
        <v>2024</v>
      </c>
      <c r="G83">
        <v>2025</v>
      </c>
      <c r="H83">
        <v>2026</v>
      </c>
      <c r="I83">
        <v>2027</v>
      </c>
      <c r="J83">
        <v>2028</v>
      </c>
      <c r="K83">
        <v>2029</v>
      </c>
      <c r="L83">
        <v>2030</v>
      </c>
      <c r="M83">
        <v>2031</v>
      </c>
      <c r="N83">
        <v>2032</v>
      </c>
      <c r="O83">
        <v>2033</v>
      </c>
      <c r="P83">
        <v>2034</v>
      </c>
      <c r="Q83">
        <v>2035</v>
      </c>
      <c r="R83">
        <v>2036</v>
      </c>
      <c r="S83">
        <v>2037</v>
      </c>
      <c r="T83">
        <v>2038</v>
      </c>
      <c r="U83">
        <v>2039</v>
      </c>
      <c r="V83">
        <v>2040</v>
      </c>
      <c r="W83">
        <v>2041</v>
      </c>
      <c r="X83">
        <v>2042</v>
      </c>
      <c r="Y83">
        <v>2043</v>
      </c>
      <c r="Z83">
        <v>2044</v>
      </c>
      <c r="AA83">
        <v>2045</v>
      </c>
      <c r="AB83">
        <v>2046</v>
      </c>
      <c r="AC83">
        <v>2047</v>
      </c>
      <c r="AD83">
        <v>2048</v>
      </c>
      <c r="AE83">
        <v>2049</v>
      </c>
      <c r="AF83">
        <v>2050</v>
      </c>
    </row>
    <row r="84" spans="1:32" s="74" customFormat="1" x14ac:dyDescent="0.35">
      <c r="A84" t="s">
        <v>1306</v>
      </c>
      <c r="B84">
        <v>1</v>
      </c>
      <c r="C84">
        <v>0.81247100000000005</v>
      </c>
      <c r="D84">
        <v>0.69057400000000002</v>
      </c>
      <c r="E84">
        <v>0.602966</v>
      </c>
      <c r="F84">
        <v>0.5343</v>
      </c>
      <c r="G84">
        <v>0.48347499999999999</v>
      </c>
      <c r="H84">
        <v>0.44039</v>
      </c>
      <c r="I84">
        <v>0.40270299999999998</v>
      </c>
      <c r="J84">
        <v>0.37030400000000002</v>
      </c>
      <c r="K84">
        <v>0.34204000000000001</v>
      </c>
      <c r="L84">
        <v>0.31709700000000002</v>
      </c>
      <c r="M84">
        <v>0.29500300000000002</v>
      </c>
      <c r="N84">
        <v>0.27564899999999998</v>
      </c>
      <c r="O84">
        <v>0.25891599999999998</v>
      </c>
      <c r="P84">
        <v>0.244364</v>
      </c>
      <c r="Q84">
        <v>0.23164399999999999</v>
      </c>
      <c r="R84">
        <v>0.220274</v>
      </c>
      <c r="S84">
        <v>0.21030599999999999</v>
      </c>
      <c r="T84">
        <v>0.201484</v>
      </c>
      <c r="U84">
        <v>0.19356699999999999</v>
      </c>
      <c r="V84">
        <v>0.18637899999999999</v>
      </c>
      <c r="W84">
        <v>0.17997199999999999</v>
      </c>
      <c r="X84">
        <v>0.174208</v>
      </c>
      <c r="Y84">
        <v>0.16899500000000001</v>
      </c>
      <c r="Z84">
        <v>0.16425799999999999</v>
      </c>
      <c r="AA84">
        <v>0.15993299999999999</v>
      </c>
      <c r="AB84">
        <v>0.155976</v>
      </c>
      <c r="AC84">
        <v>0.152332</v>
      </c>
      <c r="AD84">
        <v>0.14896200000000001</v>
      </c>
      <c r="AE84">
        <v>0.14583499999999999</v>
      </c>
      <c r="AF84">
        <v>0.142924</v>
      </c>
    </row>
    <row r="85" spans="1:32" s="74" customFormat="1" x14ac:dyDescent="0.35"/>
    <row r="86" spans="1:32" s="74" customFormat="1" x14ac:dyDescent="0.35">
      <c r="A86" s="198" t="s">
        <v>1366</v>
      </c>
      <c r="B86" s="69"/>
      <c r="C86" s="68"/>
      <c r="D86" s="68"/>
      <c r="E86" s="68"/>
      <c r="F86" s="68"/>
      <c r="G86" s="68"/>
      <c r="H86" s="68"/>
      <c r="I86" s="68"/>
      <c r="J86" s="68"/>
      <c r="K86" s="68"/>
      <c r="L86" s="68"/>
      <c r="M86" s="68"/>
      <c r="N86" s="68"/>
      <c r="O86" s="68"/>
      <c r="P86" s="68"/>
      <c r="Q86" s="68"/>
      <c r="R86" s="68"/>
      <c r="S86" s="68"/>
      <c r="T86" s="68"/>
      <c r="U86" s="68"/>
      <c r="V86" s="68"/>
      <c r="W86" s="68"/>
      <c r="X86" s="68"/>
      <c r="Y86" s="68"/>
      <c r="Z86" s="68"/>
      <c r="AA86" s="68"/>
      <c r="AB86" s="68"/>
      <c r="AC86" s="68"/>
      <c r="AD86" s="68"/>
      <c r="AE86" s="68"/>
      <c r="AF86" s="68"/>
    </row>
    <row r="87" spans="1:32" s="74" customFormat="1" x14ac:dyDescent="0.35">
      <c r="A87" s="74" t="s">
        <v>1365</v>
      </c>
      <c r="B87" s="75">
        <f>B77/B31</f>
        <v>0.54523121874734648</v>
      </c>
      <c r="C87" s="75">
        <f t="shared" ref="C87:AF87" si="17">C77/C31</f>
        <v>0.49343682319560966</v>
      </c>
      <c r="D87" s="75">
        <f t="shared" si="17"/>
        <v>0.45293690730434283</v>
      </c>
      <c r="E87" s="75">
        <f t="shared" si="17"/>
        <v>0.41958587948257337</v>
      </c>
      <c r="F87" s="75">
        <f t="shared" si="17"/>
        <v>0.39046049637908725</v>
      </c>
      <c r="G87" s="75">
        <f t="shared" si="17"/>
        <v>0.36694744003672647</v>
      </c>
      <c r="H87" s="75">
        <f t="shared" si="17"/>
        <v>0.34554640412773607</v>
      </c>
      <c r="I87" s="75">
        <f t="shared" si="17"/>
        <v>0.32560409607494345</v>
      </c>
      <c r="J87" s="75">
        <f t="shared" si="17"/>
        <v>0.3074623111572436</v>
      </c>
      <c r="K87" s="75">
        <f t="shared" si="17"/>
        <v>0.29081960953785835</v>
      </c>
      <c r="L87" s="75">
        <f t="shared" si="17"/>
        <v>0.27545357901642936</v>
      </c>
      <c r="M87" s="75">
        <f t="shared" si="17"/>
        <v>0.26127564158164562</v>
      </c>
      <c r="N87" s="75">
        <f t="shared" si="17"/>
        <v>0.2483921211337331</v>
      </c>
      <c r="O87" s="75">
        <f t="shared" si="17"/>
        <v>0.23688557807000227</v>
      </c>
      <c r="P87" s="75">
        <f t="shared" si="17"/>
        <v>0.22658852311506336</v>
      </c>
      <c r="Q87" s="75">
        <f t="shared" si="17"/>
        <v>0.21735747023443872</v>
      </c>
      <c r="R87" s="75">
        <f t="shared" si="17"/>
        <v>0.20891760131628878</v>
      </c>
      <c r="S87" s="75">
        <f t="shared" si="17"/>
        <v>0.20136725390138319</v>
      </c>
      <c r="T87" s="75">
        <f t="shared" si="17"/>
        <v>0.19456370621373489</v>
      </c>
      <c r="U87" s="75">
        <f t="shared" si="17"/>
        <v>0.18835864488141213</v>
      </c>
      <c r="V87" s="75">
        <f t="shared" si="17"/>
        <v>0.1826415571123938</v>
      </c>
      <c r="W87" s="75">
        <f t="shared" si="17"/>
        <v>0.177477331303904</v>
      </c>
      <c r="X87" s="75">
        <f t="shared" si="17"/>
        <v>0.17277530112961961</v>
      </c>
      <c r="Y87" s="75">
        <f t="shared" si="17"/>
        <v>0.16847621680147709</v>
      </c>
      <c r="Z87" s="75">
        <f t="shared" si="17"/>
        <v>0.1645307481054927</v>
      </c>
      <c r="AA87" s="75">
        <f t="shared" si="17"/>
        <v>0.16089559544203755</v>
      </c>
      <c r="AB87" s="75">
        <f t="shared" si="17"/>
        <v>0.15754192472054221</v>
      </c>
      <c r="AC87" s="75">
        <f t="shared" si="17"/>
        <v>0.15442973230233295</v>
      </c>
      <c r="AD87" s="75">
        <f t="shared" si="17"/>
        <v>0.15153101644452951</v>
      </c>
      <c r="AE87" s="75">
        <f t="shared" si="17"/>
        <v>0.14882348471020287</v>
      </c>
      <c r="AF87" s="75">
        <f t="shared" si="17"/>
        <v>0.14628740091179032</v>
      </c>
    </row>
    <row r="88" spans="1:32" s="74" customFormat="1" x14ac:dyDescent="0.35">
      <c r="A88" s="74" t="s">
        <v>1364</v>
      </c>
      <c r="B88" s="75">
        <f>B78/B22</f>
        <v>0.37478891888088628</v>
      </c>
      <c r="C88" s="75">
        <f t="shared" ref="C88:AF88" si="18">C78/C22</f>
        <v>0.32752481329209915</v>
      </c>
      <c r="D88" s="75">
        <f t="shared" si="18"/>
        <v>0.29277209794665171</v>
      </c>
      <c r="E88" s="75">
        <f t="shared" si="18"/>
        <v>0.26549109757713452</v>
      </c>
      <c r="F88" s="75">
        <f t="shared" si="18"/>
        <v>0.2425914340720963</v>
      </c>
      <c r="G88" s="75">
        <f t="shared" si="18"/>
        <v>0.22470032443106358</v>
      </c>
      <c r="H88" s="75">
        <f t="shared" si="18"/>
        <v>0.20885832337023419</v>
      </c>
      <c r="I88" s="75">
        <f t="shared" si="18"/>
        <v>0.19446063819893158</v>
      </c>
      <c r="J88" s="75">
        <f t="shared" si="18"/>
        <v>0.18165758622927072</v>
      </c>
      <c r="K88" s="75">
        <f t="shared" si="18"/>
        <v>0.17015150136330795</v>
      </c>
      <c r="L88" s="75">
        <f t="shared" si="18"/>
        <v>0.15972523306118272</v>
      </c>
      <c r="M88" s="75">
        <f t="shared" si="18"/>
        <v>0.15026858070782265</v>
      </c>
      <c r="N88" s="75">
        <f t="shared" si="18"/>
        <v>0.14180806339744578</v>
      </c>
      <c r="O88" s="75">
        <f t="shared" si="18"/>
        <v>0.13435632714676274</v>
      </c>
      <c r="P88" s="75">
        <f t="shared" si="18"/>
        <v>0.12776985266446711</v>
      </c>
      <c r="Q88" s="75">
        <f t="shared" si="18"/>
        <v>0.12192992515612415</v>
      </c>
      <c r="R88" s="75">
        <f t="shared" si="18"/>
        <v>0.1166432105356096</v>
      </c>
      <c r="S88" s="75">
        <f t="shared" si="18"/>
        <v>0.111955736566103</v>
      </c>
      <c r="T88" s="75">
        <f t="shared" si="18"/>
        <v>0.10776547856236247</v>
      </c>
      <c r="U88" s="75">
        <f t="shared" si="18"/>
        <v>0.10397126580778587</v>
      </c>
      <c r="V88" s="75">
        <f t="shared" si="18"/>
        <v>0.10049836774202567</v>
      </c>
      <c r="W88" s="75">
        <f t="shared" si="18"/>
        <v>9.7380040507742058E-2</v>
      </c>
      <c r="X88" s="75">
        <f t="shared" si="18"/>
        <v>9.4556132716699853E-2</v>
      </c>
      <c r="Y88" s="75">
        <f t="shared" si="18"/>
        <v>9.1986911852847936E-2</v>
      </c>
      <c r="Z88" s="75">
        <f t="shared" si="18"/>
        <v>8.9639610108243339E-2</v>
      </c>
      <c r="AA88" s="75">
        <f t="shared" si="18"/>
        <v>8.7485840957849031E-2</v>
      </c>
      <c r="AB88" s="75">
        <f t="shared" si="18"/>
        <v>8.5506382388997798E-2</v>
      </c>
      <c r="AC88" s="75">
        <f t="shared" si="18"/>
        <v>8.3675888696984002E-2</v>
      </c>
      <c r="AD88" s="75">
        <f t="shared" si="18"/>
        <v>8.1976499358439051E-2</v>
      </c>
      <c r="AE88" s="75">
        <f t="shared" si="18"/>
        <v>8.039399996758545E-2</v>
      </c>
      <c r="AF88" s="75">
        <f t="shared" si="18"/>
        <v>7.8915901517713744E-2</v>
      </c>
    </row>
    <row r="89" spans="1:32" s="74" customFormat="1" x14ac:dyDescent="0.35">
      <c r="B89" s="69"/>
      <c r="C89" s="68"/>
      <c r="D89" s="68"/>
      <c r="E89" s="68"/>
      <c r="F89" s="68"/>
      <c r="G89" s="68"/>
      <c r="H89" s="68"/>
      <c r="I89" s="68"/>
      <c r="J89" s="68"/>
      <c r="K89" s="68"/>
      <c r="L89" s="68"/>
      <c r="M89" s="68"/>
      <c r="N89" s="68"/>
      <c r="O89" s="68"/>
      <c r="P89" s="68"/>
      <c r="Q89" s="68"/>
      <c r="R89" s="68"/>
      <c r="S89" s="68"/>
      <c r="T89" s="68"/>
      <c r="U89" s="68"/>
      <c r="V89" s="68"/>
      <c r="W89" s="68"/>
      <c r="X89" s="68"/>
      <c r="Y89" s="68"/>
      <c r="Z89" s="68"/>
      <c r="AA89" s="68"/>
      <c r="AB89" s="68"/>
      <c r="AC89" s="68"/>
      <c r="AD89" s="68"/>
      <c r="AE89" s="68"/>
      <c r="AF89" s="68"/>
    </row>
    <row r="90" spans="1:32" s="74" customFormat="1" x14ac:dyDescent="0.35">
      <c r="B90" s="69"/>
      <c r="D90" s="68"/>
    </row>
    <row r="95" spans="1:32" x14ac:dyDescent="0.35">
      <c r="A95" s="13" t="s">
        <v>1346</v>
      </c>
      <c r="D95" s="13" t="s">
        <v>1345</v>
      </c>
    </row>
    <row r="140" spans="1:1" x14ac:dyDescent="0.35">
      <c r="A140" t="s">
        <v>1268</v>
      </c>
    </row>
  </sheetData>
  <hyperlinks>
    <hyperlink ref="C55" r:id="rId1" xr:uid="{B8E7F1F0-7354-4275-BB6C-A08E36E1C012}"/>
    <hyperlink ref="B55" r:id="rId2" xr:uid="{0BE24EE0-FF40-4A99-8EB9-20B005AA8783}"/>
    <hyperlink ref="G44" r:id="rId3" xr:uid="{537774B7-B77A-4904-9748-9AA046518064}"/>
    <hyperlink ref="A95" r:id="rId4" display="Figure 5" xr:uid="{80A38E5A-65EE-4DED-BC27-E3C4F7366780}"/>
    <hyperlink ref="D95" r:id="rId5" display="page 10" xr:uid="{496CFF4D-18A7-4EC0-B205-880963537FD2}"/>
  </hyperlinks>
  <pageMargins left="0.7" right="0.7" top="0.75" bottom="0.75" header="0.3" footer="0.3"/>
  <pageSetup orientation="portrait" r:id="rId6"/>
  <drawing r:id="rId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0BAB2-59DE-4D16-B1AF-F690868D7B4C}">
  <sheetPr>
    <tabColor theme="9"/>
  </sheetPr>
  <dimension ref="A1:AF79"/>
  <sheetViews>
    <sheetView workbookViewId="0">
      <selection activeCell="AF9" sqref="B3:AF9"/>
    </sheetView>
  </sheetViews>
  <sheetFormatPr defaultRowHeight="14.5" x14ac:dyDescent="0.35"/>
  <cols>
    <col min="1" max="1" width="16.36328125" customWidth="1"/>
    <col min="2" max="2" width="16.453125" customWidth="1"/>
    <col min="3" max="3" width="15.08984375" customWidth="1"/>
    <col min="4" max="4" width="24.1796875" customWidth="1"/>
    <col min="5" max="5" width="15.6328125" customWidth="1"/>
    <col min="6" max="6" width="14.54296875" customWidth="1"/>
    <col min="7" max="7" width="13" customWidth="1"/>
    <col min="10" max="10" width="11.08984375" bestFit="1" customWidth="1"/>
    <col min="12" max="12" width="10.08984375" bestFit="1" customWidth="1"/>
    <col min="13" max="13" width="14.81640625" customWidth="1"/>
    <col min="32" max="32" width="12.7265625" customWidth="1"/>
  </cols>
  <sheetData>
    <row r="1" spans="1:32" s="74" customFormat="1" x14ac:dyDescent="0.35">
      <c r="A1" s="74" t="s">
        <v>1350</v>
      </c>
    </row>
    <row r="2" spans="1:32" s="74" customFormat="1" x14ac:dyDescent="0.35">
      <c r="B2" s="74">
        <f>B13</f>
        <v>2020</v>
      </c>
      <c r="C2" s="74">
        <f t="shared" ref="C2:AF2" si="0">C13</f>
        <v>2021</v>
      </c>
      <c r="D2" s="74">
        <f t="shared" si="0"/>
        <v>2022</v>
      </c>
      <c r="E2" s="74">
        <f t="shared" si="0"/>
        <v>2023</v>
      </c>
      <c r="F2" s="74">
        <f t="shared" si="0"/>
        <v>2024</v>
      </c>
      <c r="G2" s="74">
        <f t="shared" si="0"/>
        <v>2025</v>
      </c>
      <c r="H2" s="74">
        <f t="shared" si="0"/>
        <v>2026</v>
      </c>
      <c r="I2" s="74">
        <f t="shared" si="0"/>
        <v>2027</v>
      </c>
      <c r="J2" s="74">
        <f t="shared" si="0"/>
        <v>2028</v>
      </c>
      <c r="K2" s="74">
        <f t="shared" si="0"/>
        <v>2029</v>
      </c>
      <c r="L2" s="74">
        <f t="shared" si="0"/>
        <v>2030</v>
      </c>
      <c r="M2" s="74">
        <f t="shared" si="0"/>
        <v>2031</v>
      </c>
      <c r="N2" s="74">
        <f t="shared" si="0"/>
        <v>2032</v>
      </c>
      <c r="O2" s="74">
        <f t="shared" si="0"/>
        <v>2033</v>
      </c>
      <c r="P2" s="74">
        <f t="shared" si="0"/>
        <v>2034</v>
      </c>
      <c r="Q2" s="74">
        <f t="shared" si="0"/>
        <v>2035</v>
      </c>
      <c r="R2" s="74">
        <f t="shared" si="0"/>
        <v>2036</v>
      </c>
      <c r="S2" s="74">
        <f t="shared" si="0"/>
        <v>2037</v>
      </c>
      <c r="T2" s="74">
        <f t="shared" si="0"/>
        <v>2038</v>
      </c>
      <c r="U2" s="74">
        <f t="shared" si="0"/>
        <v>2039</v>
      </c>
      <c r="V2" s="74">
        <f t="shared" si="0"/>
        <v>2040</v>
      </c>
      <c r="W2" s="74">
        <f t="shared" si="0"/>
        <v>2041</v>
      </c>
      <c r="X2" s="74">
        <f t="shared" si="0"/>
        <v>2042</v>
      </c>
      <c r="Y2" s="74">
        <f t="shared" si="0"/>
        <v>2043</v>
      </c>
      <c r="Z2" s="74">
        <f t="shared" si="0"/>
        <v>2044</v>
      </c>
      <c r="AA2" s="74">
        <f t="shared" si="0"/>
        <v>2045</v>
      </c>
      <c r="AB2" s="74">
        <f t="shared" si="0"/>
        <v>2046</v>
      </c>
      <c r="AC2" s="74">
        <f t="shared" si="0"/>
        <v>2047</v>
      </c>
      <c r="AD2" s="74">
        <f t="shared" si="0"/>
        <v>2048</v>
      </c>
      <c r="AE2" s="74">
        <f t="shared" si="0"/>
        <v>2049</v>
      </c>
      <c r="AF2" s="74">
        <f t="shared" si="0"/>
        <v>2050</v>
      </c>
    </row>
    <row r="3" spans="1:32" s="74" customFormat="1" x14ac:dyDescent="0.35">
      <c r="A3" s="74" t="s">
        <v>0</v>
      </c>
      <c r="B3" s="68">
        <f>B14*$B$11</f>
        <v>57533.449619128398</v>
      </c>
      <c r="C3" s="68">
        <f t="shared" ref="C3:AF9" si="1">C14*$B$11</f>
        <v>54944.043953458269</v>
      </c>
      <c r="D3" s="68">
        <f t="shared" si="1"/>
        <v>53260.886775484774</v>
      </c>
      <c r="E3" s="68">
        <f t="shared" si="1"/>
        <v>52051.19306646895</v>
      </c>
      <c r="F3" s="68">
        <f t="shared" si="1"/>
        <v>51103.051022097658</v>
      </c>
      <c r="G3" s="68">
        <f t="shared" si="1"/>
        <v>50401.258003643525</v>
      </c>
      <c r="H3" s="68">
        <f t="shared" si="1"/>
        <v>49806.339121201891</v>
      </c>
      <c r="I3" s="68">
        <f t="shared" si="1"/>
        <v>49285.955973410826</v>
      </c>
      <c r="J3" s="68">
        <f t="shared" si="1"/>
        <v>48838.589677200398</v>
      </c>
      <c r="K3" s="68">
        <f t="shared" si="1"/>
        <v>48448.319576391987</v>
      </c>
      <c r="L3" s="68">
        <f t="shared" si="1"/>
        <v>48103.905936267998</v>
      </c>
      <c r="M3" s="68">
        <f t="shared" si="1"/>
        <v>47798.831367655599</v>
      </c>
      <c r="N3" s="68">
        <f t="shared" si="1"/>
        <v>47531.590795512733</v>
      </c>
      <c r="O3" s="68">
        <f t="shared" si="1"/>
        <v>47300.541064518278</v>
      </c>
      <c r="P3" s="68">
        <f t="shared" si="1"/>
        <v>47099.606642392464</v>
      </c>
      <c r="Q3" s="68">
        <f t="shared" si="1"/>
        <v>46923.968527395191</v>
      </c>
      <c r="R3" s="68">
        <f t="shared" si="1"/>
        <v>46766.971250074515</v>
      </c>
      <c r="S3" s="68">
        <f t="shared" si="1"/>
        <v>46629.332827881677</v>
      </c>
      <c r="T3" s="68">
        <f t="shared" si="1"/>
        <v>46507.518405672097</v>
      </c>
      <c r="U3" s="68">
        <f t="shared" si="1"/>
        <v>46398.200248719782</v>
      </c>
      <c r="V3" s="68">
        <f t="shared" si="1"/>
        <v>46298.94814411283</v>
      </c>
      <c r="W3" s="68">
        <f t="shared" si="1"/>
        <v>46210.480109302487</v>
      </c>
      <c r="X3" s="68">
        <f t="shared" si="1"/>
        <v>46130.890636437369</v>
      </c>
      <c r="Y3" s="68">
        <f t="shared" si="1"/>
        <v>46058.909386949883</v>
      </c>
      <c r="Z3" s="68">
        <f t="shared" si="1"/>
        <v>45993.500758746894</v>
      </c>
      <c r="AA3" s="68">
        <f t="shared" si="1"/>
        <v>45933.781038042238</v>
      </c>
      <c r="AB3" s="68">
        <f t="shared" si="1"/>
        <v>45879.142671607944</v>
      </c>
      <c r="AC3" s="68">
        <f t="shared" si="1"/>
        <v>45828.826217909038</v>
      </c>
      <c r="AD3" s="68">
        <f t="shared" si="1"/>
        <v>45782.293163857088</v>
      </c>
      <c r="AE3" s="68">
        <f t="shared" si="1"/>
        <v>45739.115460586923</v>
      </c>
      <c r="AF3" s="68">
        <f t="shared" si="1"/>
        <v>45698.920291345014</v>
      </c>
    </row>
    <row r="4" spans="1:32" s="74" customFormat="1" x14ac:dyDescent="0.35">
      <c r="A4" s="74" t="s">
        <v>1</v>
      </c>
      <c r="B4" s="68">
        <f t="shared" ref="B4:Q9" si="2">B15*$B$11</f>
        <v>52508.216124604602</v>
      </c>
      <c r="C4" s="68">
        <f t="shared" si="2"/>
        <v>53065.107962919996</v>
      </c>
      <c r="D4" s="68">
        <f t="shared" si="2"/>
        <v>53621.999801235383</v>
      </c>
      <c r="E4" s="68">
        <f t="shared" si="2"/>
        <v>54178.891639550777</v>
      </c>
      <c r="F4" s="68">
        <f t="shared" si="2"/>
        <v>55198.926836126149</v>
      </c>
      <c r="G4" s="68">
        <f t="shared" si="2"/>
        <v>56218.962032701515</v>
      </c>
      <c r="H4" s="68">
        <f t="shared" si="2"/>
        <v>57238.997229276894</v>
      </c>
      <c r="I4" s="68">
        <f t="shared" si="2"/>
        <v>58259.032425852267</v>
      </c>
      <c r="J4" s="68">
        <f t="shared" si="2"/>
        <v>59665.398880471315</v>
      </c>
      <c r="K4" s="68">
        <f t="shared" si="2"/>
        <v>61071.765335090371</v>
      </c>
      <c r="L4" s="68">
        <f t="shared" si="2"/>
        <v>62478.13178970942</v>
      </c>
      <c r="M4" s="68">
        <f t="shared" si="2"/>
        <v>62478.13178970942</v>
      </c>
      <c r="N4" s="68">
        <f t="shared" si="2"/>
        <v>62478.13178970942</v>
      </c>
      <c r="O4" s="68">
        <f t="shared" si="2"/>
        <v>62478.13178970942</v>
      </c>
      <c r="P4" s="68">
        <f t="shared" si="2"/>
        <v>62478.13178970942</v>
      </c>
      <c r="Q4" s="68">
        <f t="shared" si="2"/>
        <v>62478.13178970942</v>
      </c>
      <c r="R4" s="68">
        <f t="shared" si="1"/>
        <v>62478.13178970942</v>
      </c>
      <c r="S4" s="68">
        <f t="shared" si="1"/>
        <v>62478.13178970942</v>
      </c>
      <c r="T4" s="68">
        <f t="shared" si="1"/>
        <v>62478.13178970942</v>
      </c>
      <c r="U4" s="68">
        <f t="shared" si="1"/>
        <v>62478.13178970942</v>
      </c>
      <c r="V4" s="68">
        <f t="shared" si="1"/>
        <v>62478.13178970942</v>
      </c>
      <c r="W4" s="68">
        <f t="shared" si="1"/>
        <v>62478.13178970942</v>
      </c>
      <c r="X4" s="68">
        <f t="shared" si="1"/>
        <v>62478.13178970942</v>
      </c>
      <c r="Y4" s="68">
        <f t="shared" si="1"/>
        <v>62478.13178970942</v>
      </c>
      <c r="Z4" s="68">
        <f t="shared" si="1"/>
        <v>62478.13178970942</v>
      </c>
      <c r="AA4" s="68">
        <f t="shared" si="1"/>
        <v>62478.13178970942</v>
      </c>
      <c r="AB4" s="68">
        <f t="shared" si="1"/>
        <v>62478.13178970942</v>
      </c>
      <c r="AC4" s="68">
        <f t="shared" si="1"/>
        <v>62478.13178970942</v>
      </c>
      <c r="AD4" s="68">
        <f t="shared" si="1"/>
        <v>62478.13178970942</v>
      </c>
      <c r="AE4" s="68">
        <f t="shared" si="1"/>
        <v>62478.13178970942</v>
      </c>
      <c r="AF4" s="68">
        <f t="shared" si="1"/>
        <v>62478.13178970942</v>
      </c>
    </row>
    <row r="5" spans="1:32" s="74" customFormat="1" x14ac:dyDescent="0.35">
      <c r="A5" s="74" t="s">
        <v>2</v>
      </c>
      <c r="B5" s="68">
        <f t="shared" si="2"/>
        <v>47031.583457405504</v>
      </c>
      <c r="C5" s="68">
        <f t="shared" si="1"/>
        <v>47588.475295720898</v>
      </c>
      <c r="D5" s="68">
        <f t="shared" si="1"/>
        <v>48145.367134036285</v>
      </c>
      <c r="E5" s="68">
        <f t="shared" si="1"/>
        <v>48702.258972351679</v>
      </c>
      <c r="F5" s="68">
        <f t="shared" si="1"/>
        <v>49722.294168927052</v>
      </c>
      <c r="G5" s="68">
        <f t="shared" si="1"/>
        <v>50742.329365502417</v>
      </c>
      <c r="H5" s="68">
        <f t="shared" si="1"/>
        <v>51762.36456207779</v>
      </c>
      <c r="I5" s="68">
        <f t="shared" si="1"/>
        <v>52782.399758653162</v>
      </c>
      <c r="J5" s="68">
        <f t="shared" si="1"/>
        <v>54188.766213272218</v>
      </c>
      <c r="K5" s="68">
        <f t="shared" si="1"/>
        <v>55595.132667891274</v>
      </c>
      <c r="L5" s="68">
        <f t="shared" si="1"/>
        <v>57001.499122510329</v>
      </c>
      <c r="M5" s="68">
        <f t="shared" si="1"/>
        <v>57001.499122510329</v>
      </c>
      <c r="N5" s="68">
        <f t="shared" si="1"/>
        <v>57001.499122510329</v>
      </c>
      <c r="O5" s="68">
        <f t="shared" si="1"/>
        <v>57001.499122510329</v>
      </c>
      <c r="P5" s="68">
        <f t="shared" si="1"/>
        <v>57001.499122510329</v>
      </c>
      <c r="Q5" s="68">
        <f t="shared" si="1"/>
        <v>57001.499122510329</v>
      </c>
      <c r="R5" s="68">
        <f t="shared" si="1"/>
        <v>57001.499122510329</v>
      </c>
      <c r="S5" s="68">
        <f t="shared" si="1"/>
        <v>57001.499122510329</v>
      </c>
      <c r="T5" s="68">
        <f t="shared" si="1"/>
        <v>57001.499122510329</v>
      </c>
      <c r="U5" s="68">
        <f t="shared" si="1"/>
        <v>57001.499122510329</v>
      </c>
      <c r="V5" s="68">
        <f t="shared" si="1"/>
        <v>57001.499122510329</v>
      </c>
      <c r="W5" s="68">
        <f t="shared" si="1"/>
        <v>57001.499122510329</v>
      </c>
      <c r="X5" s="68">
        <f t="shared" si="1"/>
        <v>57001.499122510329</v>
      </c>
      <c r="Y5" s="68">
        <f t="shared" si="1"/>
        <v>57001.499122510329</v>
      </c>
      <c r="Z5" s="68">
        <f t="shared" si="1"/>
        <v>57001.499122510329</v>
      </c>
      <c r="AA5" s="68">
        <f t="shared" si="1"/>
        <v>57001.499122510329</v>
      </c>
      <c r="AB5" s="68">
        <f t="shared" si="1"/>
        <v>57001.499122510329</v>
      </c>
      <c r="AC5" s="68">
        <f t="shared" si="1"/>
        <v>57001.499122510329</v>
      </c>
      <c r="AD5" s="68">
        <f t="shared" si="1"/>
        <v>57001.499122510329</v>
      </c>
      <c r="AE5" s="68">
        <f t="shared" si="1"/>
        <v>57001.499122510329</v>
      </c>
      <c r="AF5" s="68">
        <f t="shared" si="1"/>
        <v>57001.499122510329</v>
      </c>
    </row>
    <row r="6" spans="1:32" s="74" customFormat="1" x14ac:dyDescent="0.35">
      <c r="A6" s="74" t="s">
        <v>3</v>
      </c>
      <c r="B6" s="68">
        <f t="shared" si="2"/>
        <v>52508.216124604602</v>
      </c>
      <c r="C6" s="68">
        <f t="shared" si="1"/>
        <v>53065.107962919996</v>
      </c>
      <c r="D6" s="68">
        <f t="shared" si="1"/>
        <v>53621.999801235383</v>
      </c>
      <c r="E6" s="68">
        <f t="shared" si="1"/>
        <v>54178.891639550777</v>
      </c>
      <c r="F6" s="68">
        <f t="shared" si="1"/>
        <v>55198.926836126149</v>
      </c>
      <c r="G6" s="68">
        <f t="shared" si="1"/>
        <v>56218.962032701515</v>
      </c>
      <c r="H6" s="68">
        <f t="shared" si="1"/>
        <v>57238.997229276894</v>
      </c>
      <c r="I6" s="68">
        <f t="shared" si="1"/>
        <v>58259.032425852267</v>
      </c>
      <c r="J6" s="68">
        <f t="shared" si="1"/>
        <v>59665.398880471315</v>
      </c>
      <c r="K6" s="68">
        <f t="shared" si="1"/>
        <v>61071.765335090371</v>
      </c>
      <c r="L6" s="68">
        <f t="shared" si="1"/>
        <v>62478.13178970942</v>
      </c>
      <c r="M6" s="68">
        <f t="shared" si="1"/>
        <v>62478.13178970942</v>
      </c>
      <c r="N6" s="68">
        <f t="shared" si="1"/>
        <v>62478.13178970942</v>
      </c>
      <c r="O6" s="68">
        <f t="shared" si="1"/>
        <v>62478.13178970942</v>
      </c>
      <c r="P6" s="68">
        <f t="shared" si="1"/>
        <v>62478.13178970942</v>
      </c>
      <c r="Q6" s="68">
        <f t="shared" si="1"/>
        <v>62478.13178970942</v>
      </c>
      <c r="R6" s="68">
        <f t="shared" si="1"/>
        <v>62478.13178970942</v>
      </c>
      <c r="S6" s="68">
        <f t="shared" si="1"/>
        <v>62478.13178970942</v>
      </c>
      <c r="T6" s="68">
        <f t="shared" si="1"/>
        <v>62478.13178970942</v>
      </c>
      <c r="U6" s="68">
        <f t="shared" si="1"/>
        <v>62478.13178970942</v>
      </c>
      <c r="V6" s="68">
        <f t="shared" si="1"/>
        <v>62478.13178970942</v>
      </c>
      <c r="W6" s="68">
        <f t="shared" si="1"/>
        <v>62478.13178970942</v>
      </c>
      <c r="X6" s="68">
        <f t="shared" si="1"/>
        <v>62478.13178970942</v>
      </c>
      <c r="Y6" s="68">
        <f t="shared" si="1"/>
        <v>62478.13178970942</v>
      </c>
      <c r="Z6" s="68">
        <f t="shared" si="1"/>
        <v>62478.13178970942</v>
      </c>
      <c r="AA6" s="68">
        <f t="shared" si="1"/>
        <v>62478.13178970942</v>
      </c>
      <c r="AB6" s="68">
        <f t="shared" si="1"/>
        <v>62478.13178970942</v>
      </c>
      <c r="AC6" s="68">
        <f t="shared" si="1"/>
        <v>62478.13178970942</v>
      </c>
      <c r="AD6" s="68">
        <f t="shared" si="1"/>
        <v>62478.13178970942</v>
      </c>
      <c r="AE6" s="68">
        <f t="shared" si="1"/>
        <v>62478.13178970942</v>
      </c>
      <c r="AF6" s="68">
        <f t="shared" si="1"/>
        <v>62478.13178970942</v>
      </c>
    </row>
    <row r="7" spans="1:32" s="74" customFormat="1" x14ac:dyDescent="0.35">
      <c r="A7" s="74" t="s">
        <v>4</v>
      </c>
      <c r="B7" s="68">
        <v>999999</v>
      </c>
      <c r="C7" s="68">
        <v>999999</v>
      </c>
      <c r="D7" s="68">
        <v>999999</v>
      </c>
      <c r="E7" s="68">
        <v>999999</v>
      </c>
      <c r="F7" s="68">
        <v>999999</v>
      </c>
      <c r="G7" s="68">
        <v>999999</v>
      </c>
      <c r="H7" s="68">
        <v>999999</v>
      </c>
      <c r="I7" s="68">
        <v>999999</v>
      </c>
      <c r="J7" s="68">
        <v>999999</v>
      </c>
      <c r="K7" s="68">
        <v>999999</v>
      </c>
      <c r="L7" s="68">
        <v>999999</v>
      </c>
      <c r="M7" s="68">
        <v>999999</v>
      </c>
      <c r="N7" s="68">
        <v>999999</v>
      </c>
      <c r="O7" s="68">
        <v>999999</v>
      </c>
      <c r="P7" s="68">
        <v>999999</v>
      </c>
      <c r="Q7" s="68">
        <v>999999</v>
      </c>
      <c r="R7" s="68">
        <v>999999</v>
      </c>
      <c r="S7" s="68">
        <v>999999</v>
      </c>
      <c r="T7" s="68">
        <v>999999</v>
      </c>
      <c r="U7" s="68">
        <v>999999</v>
      </c>
      <c r="V7" s="68">
        <v>999999</v>
      </c>
      <c r="W7" s="68">
        <v>999999</v>
      </c>
      <c r="X7" s="68">
        <v>999999</v>
      </c>
      <c r="Y7" s="68">
        <v>999999</v>
      </c>
      <c r="Z7" s="68">
        <v>999999</v>
      </c>
      <c r="AA7" s="68">
        <v>999999</v>
      </c>
      <c r="AB7" s="68">
        <v>999999</v>
      </c>
      <c r="AC7" s="68">
        <v>999999</v>
      </c>
      <c r="AD7" s="68">
        <v>999999</v>
      </c>
      <c r="AE7" s="68">
        <v>999999</v>
      </c>
      <c r="AF7" s="68">
        <v>999999</v>
      </c>
    </row>
    <row r="8" spans="1:32" s="74" customFormat="1" x14ac:dyDescent="0.35">
      <c r="A8" s="74" t="s">
        <v>565</v>
      </c>
      <c r="B8" s="68">
        <v>999999</v>
      </c>
      <c r="C8" s="68">
        <v>999999</v>
      </c>
      <c r="D8" s="68">
        <v>999999</v>
      </c>
      <c r="E8" s="68">
        <v>999999</v>
      </c>
      <c r="F8" s="68">
        <v>999999</v>
      </c>
      <c r="G8" s="68">
        <v>999999</v>
      </c>
      <c r="H8" s="68">
        <v>999999</v>
      </c>
      <c r="I8" s="68">
        <v>999999</v>
      </c>
      <c r="J8" s="68">
        <v>999999</v>
      </c>
      <c r="K8" s="68">
        <v>999999</v>
      </c>
      <c r="L8" s="68">
        <v>999999</v>
      </c>
      <c r="M8" s="68">
        <v>999999</v>
      </c>
      <c r="N8" s="68">
        <v>999999</v>
      </c>
      <c r="O8" s="68">
        <v>999999</v>
      </c>
      <c r="P8" s="68">
        <v>999999</v>
      </c>
      <c r="Q8" s="68">
        <v>999999</v>
      </c>
      <c r="R8" s="68">
        <v>999999</v>
      </c>
      <c r="S8" s="68">
        <v>999999</v>
      </c>
      <c r="T8" s="68">
        <v>999999</v>
      </c>
      <c r="U8" s="68">
        <v>999999</v>
      </c>
      <c r="V8" s="68">
        <v>999999</v>
      </c>
      <c r="W8" s="68">
        <v>999999</v>
      </c>
      <c r="X8" s="68">
        <v>999999</v>
      </c>
      <c r="Y8" s="68">
        <v>999999</v>
      </c>
      <c r="Z8" s="68">
        <v>999999</v>
      </c>
      <c r="AA8" s="68">
        <v>999999</v>
      </c>
      <c r="AB8" s="68">
        <v>999999</v>
      </c>
      <c r="AC8" s="68">
        <v>999999</v>
      </c>
      <c r="AD8" s="68">
        <v>999999</v>
      </c>
      <c r="AE8" s="68">
        <v>999999</v>
      </c>
      <c r="AF8" s="68">
        <v>999999</v>
      </c>
    </row>
    <row r="9" spans="1:32" s="74" customFormat="1" x14ac:dyDescent="0.35">
      <c r="A9" s="74" t="s">
        <v>566</v>
      </c>
      <c r="B9" s="68">
        <f t="shared" si="2"/>
        <v>73971.578081736516</v>
      </c>
      <c r="C9" s="68">
        <f t="shared" si="1"/>
        <v>68204.946439961248</v>
      </c>
      <c r="D9" s="68">
        <f t="shared" si="1"/>
        <v>64733.446855169728</v>
      </c>
      <c r="E9" s="68">
        <f t="shared" si="1"/>
        <v>62304.832886024553</v>
      </c>
      <c r="F9" s="68">
        <f t="shared" si="1"/>
        <v>60440.102726311838</v>
      </c>
      <c r="G9" s="68">
        <f t="shared" si="1"/>
        <v>59021.97383075775</v>
      </c>
      <c r="H9" s="68">
        <f t="shared" si="1"/>
        <v>57833.927437132385</v>
      </c>
      <c r="I9" s="68">
        <f t="shared" si="1"/>
        <v>56808.472766658742</v>
      </c>
      <c r="J9" s="68">
        <f t="shared" si="1"/>
        <v>55924.674070199042</v>
      </c>
      <c r="K9" s="68">
        <f t="shared" si="1"/>
        <v>55151.088378236716</v>
      </c>
      <c r="L9" s="68">
        <f t="shared" si="1"/>
        <v>54465.598827462272</v>
      </c>
      <c r="M9" s="68">
        <f t="shared" si="1"/>
        <v>53880.443109769389</v>
      </c>
      <c r="N9" s="68">
        <f t="shared" si="1"/>
        <v>53289.264943380869</v>
      </c>
      <c r="O9" s="68">
        <f t="shared" si="1"/>
        <v>52741.701042970097</v>
      </c>
      <c r="P9" s="68">
        <f t="shared" si="1"/>
        <v>52230.351768394808</v>
      </c>
      <c r="Q9" s="68">
        <f t="shared" si="1"/>
        <v>51749.351463588078</v>
      </c>
      <c r="R9" s="68">
        <f t="shared" si="1"/>
        <v>51290.937936271759</v>
      </c>
      <c r="S9" s="68">
        <f t="shared" si="1"/>
        <v>50855.553161933021</v>
      </c>
      <c r="T9" s="68">
        <f t="shared" si="1"/>
        <v>50439.009209714946</v>
      </c>
      <c r="U9" s="68">
        <f t="shared" si="1"/>
        <v>50037.427762966799</v>
      </c>
      <c r="V9" s="68">
        <f t="shared" si="1"/>
        <v>49647.97414367996</v>
      </c>
      <c r="W9" s="68">
        <f t="shared" si="1"/>
        <v>49271.229722893964</v>
      </c>
      <c r="X9" s="68">
        <f t="shared" si="1"/>
        <v>48904.977061149963</v>
      </c>
      <c r="Y9" s="68">
        <f t="shared" si="1"/>
        <v>48547.714703072445</v>
      </c>
      <c r="Z9" s="68">
        <f t="shared" si="1"/>
        <v>48198.218177456503</v>
      </c>
      <c r="AA9" s="68">
        <f t="shared" si="1"/>
        <v>47855.44652381268</v>
      </c>
      <c r="AB9" s="68">
        <f t="shared" si="1"/>
        <v>47518.666373094566</v>
      </c>
      <c r="AC9" s="68">
        <f t="shared" si="1"/>
        <v>47187.002790546409</v>
      </c>
      <c r="AD9" s="68">
        <f t="shared" si="1"/>
        <v>46859.825499554638</v>
      </c>
      <c r="AE9" s="68">
        <f t="shared" si="1"/>
        <v>46536.629753199741</v>
      </c>
      <c r="AF9" s="68">
        <f t="shared" si="1"/>
        <v>46216.977106939863</v>
      </c>
    </row>
    <row r="10" spans="1:32" s="74" customFormat="1" x14ac:dyDescent="0.35"/>
    <row r="11" spans="1:32" s="74" customFormat="1" x14ac:dyDescent="0.35">
      <c r="A11" s="74" t="s">
        <v>1352</v>
      </c>
      <c r="B11" s="74">
        <f>About!A169</f>
        <v>0.85004982101339621</v>
      </c>
      <c r="C11" s="74" t="str">
        <f>About!B169</f>
        <v>2021 to 2012</v>
      </c>
    </row>
    <row r="12" spans="1:32" s="74" customFormat="1" x14ac:dyDescent="0.35">
      <c r="A12" s="74" t="s">
        <v>1349</v>
      </c>
    </row>
    <row r="13" spans="1:32" s="74" customFormat="1" x14ac:dyDescent="0.35">
      <c r="B13" s="74">
        <f>B22</f>
        <v>2020</v>
      </c>
      <c r="C13" s="74">
        <f t="shared" ref="C13:AF13" si="3">C22</f>
        <v>2021</v>
      </c>
      <c r="D13" s="74">
        <f t="shared" si="3"/>
        <v>2022</v>
      </c>
      <c r="E13" s="74">
        <f t="shared" si="3"/>
        <v>2023</v>
      </c>
      <c r="F13" s="74">
        <f t="shared" si="3"/>
        <v>2024</v>
      </c>
      <c r="G13" s="74">
        <f t="shared" si="3"/>
        <v>2025</v>
      </c>
      <c r="H13" s="74">
        <f t="shared" si="3"/>
        <v>2026</v>
      </c>
      <c r="I13" s="74">
        <f t="shared" si="3"/>
        <v>2027</v>
      </c>
      <c r="J13" s="74">
        <f t="shared" si="3"/>
        <v>2028</v>
      </c>
      <c r="K13" s="74">
        <f t="shared" si="3"/>
        <v>2029</v>
      </c>
      <c r="L13" s="74">
        <f t="shared" si="3"/>
        <v>2030</v>
      </c>
      <c r="M13" s="74">
        <f t="shared" si="3"/>
        <v>2031</v>
      </c>
      <c r="N13" s="74">
        <f t="shared" si="3"/>
        <v>2032</v>
      </c>
      <c r="O13" s="74">
        <f t="shared" si="3"/>
        <v>2033</v>
      </c>
      <c r="P13" s="74">
        <f t="shared" si="3"/>
        <v>2034</v>
      </c>
      <c r="Q13" s="74">
        <f t="shared" si="3"/>
        <v>2035</v>
      </c>
      <c r="R13" s="74">
        <f t="shared" si="3"/>
        <v>2036</v>
      </c>
      <c r="S13" s="74">
        <f t="shared" si="3"/>
        <v>2037</v>
      </c>
      <c r="T13" s="74">
        <f t="shared" si="3"/>
        <v>2038</v>
      </c>
      <c r="U13" s="74">
        <f t="shared" si="3"/>
        <v>2039</v>
      </c>
      <c r="V13" s="74">
        <f t="shared" si="3"/>
        <v>2040</v>
      </c>
      <c r="W13" s="74">
        <f t="shared" si="3"/>
        <v>2041</v>
      </c>
      <c r="X13" s="74">
        <f t="shared" si="3"/>
        <v>2042</v>
      </c>
      <c r="Y13" s="74">
        <f t="shared" si="3"/>
        <v>2043</v>
      </c>
      <c r="Z13" s="74">
        <f t="shared" si="3"/>
        <v>2044</v>
      </c>
      <c r="AA13" s="74">
        <f t="shared" si="3"/>
        <v>2045</v>
      </c>
      <c r="AB13" s="74">
        <f t="shared" si="3"/>
        <v>2046</v>
      </c>
      <c r="AC13" s="74">
        <f t="shared" si="3"/>
        <v>2047</v>
      </c>
      <c r="AD13" s="74">
        <f t="shared" si="3"/>
        <v>2048</v>
      </c>
      <c r="AE13" s="74">
        <f t="shared" si="3"/>
        <v>2049</v>
      </c>
      <c r="AF13" s="74">
        <f t="shared" si="3"/>
        <v>2050</v>
      </c>
    </row>
    <row r="14" spans="1:32" s="74" customFormat="1" x14ac:dyDescent="0.35">
      <c r="A14" s="74" t="s">
        <v>0</v>
      </c>
      <c r="B14" s="68">
        <f>B23</f>
        <v>67682.444248431537</v>
      </c>
      <c r="C14" s="68">
        <f t="shared" ref="C14:AF14" si="4">C23</f>
        <v>64636.263187440149</v>
      </c>
      <c r="D14" s="68">
        <f t="shared" si="4"/>
        <v>62656.194329867896</v>
      </c>
      <c r="E14" s="68">
        <f t="shared" si="4"/>
        <v>61233.108671695911</v>
      </c>
      <c r="F14" s="68">
        <f t="shared" si="4"/>
        <v>60117.712819672844</v>
      </c>
      <c r="G14" s="68">
        <f t="shared" si="4"/>
        <v>59292.122364730472</v>
      </c>
      <c r="H14" s="68">
        <f t="shared" si="4"/>
        <v>58592.258818223992</v>
      </c>
      <c r="I14" s="68">
        <f t="shared" si="4"/>
        <v>57980.079231890239</v>
      </c>
      <c r="J14" s="68">
        <f t="shared" si="4"/>
        <v>57453.796789201057</v>
      </c>
      <c r="K14" s="68">
        <f t="shared" si="4"/>
        <v>56994.682404184015</v>
      </c>
      <c r="L14" s="68">
        <f t="shared" si="4"/>
        <v>56589.51363453074</v>
      </c>
      <c r="M14" s="68">
        <f t="shared" si="4"/>
        <v>56230.623412956782</v>
      </c>
      <c r="N14" s="68">
        <f t="shared" si="4"/>
        <v>55916.241166720589</v>
      </c>
      <c r="O14" s="68">
        <f t="shared" si="4"/>
        <v>55644.433885214421</v>
      </c>
      <c r="P14" s="68">
        <f t="shared" si="4"/>
        <v>55408.054302325661</v>
      </c>
      <c r="Q14" s="68">
        <f t="shared" si="4"/>
        <v>55201.433336524045</v>
      </c>
      <c r="R14" s="68">
        <f t="shared" si="4"/>
        <v>55016.74148265893</v>
      </c>
      <c r="S14" s="68">
        <f t="shared" si="4"/>
        <v>54854.823417634521</v>
      </c>
      <c r="T14" s="68">
        <f t="shared" si="4"/>
        <v>54711.520732076206</v>
      </c>
      <c r="U14" s="68">
        <f t="shared" si="4"/>
        <v>54582.918673408647</v>
      </c>
      <c r="V14" s="68">
        <f t="shared" si="4"/>
        <v>54466.158335186788</v>
      </c>
      <c r="W14" s="68">
        <f t="shared" si="4"/>
        <v>54362.084394314865</v>
      </c>
      <c r="X14" s="68">
        <f t="shared" si="4"/>
        <v>54268.455208239349</v>
      </c>
      <c r="Y14" s="68">
        <f t="shared" si="4"/>
        <v>54183.776348591251</v>
      </c>
      <c r="Z14" s="68">
        <f t="shared" si="4"/>
        <v>54106.829531374096</v>
      </c>
      <c r="AA14" s="68">
        <f t="shared" si="4"/>
        <v>54036.575154244223</v>
      </c>
      <c r="AB14" s="68">
        <f t="shared" si="4"/>
        <v>53972.298490590372</v>
      </c>
      <c r="AC14" s="68">
        <f t="shared" si="4"/>
        <v>53913.106132148467</v>
      </c>
      <c r="AD14" s="68">
        <f t="shared" si="4"/>
        <v>53858.364571240338</v>
      </c>
      <c r="AE14" s="68">
        <f t="shared" si="4"/>
        <v>53807.57025048077</v>
      </c>
      <c r="AF14" s="68">
        <f t="shared" si="4"/>
        <v>53760.284587631046</v>
      </c>
    </row>
    <row r="15" spans="1:32" s="74" customFormat="1" x14ac:dyDescent="0.35">
      <c r="A15" s="74" t="s">
        <v>1</v>
      </c>
      <c r="B15" s="74">
        <f>B17</f>
        <v>61770.751344911005</v>
      </c>
      <c r="C15" s="74">
        <f t="shared" ref="C15:AF15" si="5">C17</f>
        <v>62425.879814500571</v>
      </c>
      <c r="D15" s="74">
        <f t="shared" si="5"/>
        <v>63081.008284090138</v>
      </c>
      <c r="E15" s="74">
        <f t="shared" si="5"/>
        <v>63736.136753679704</v>
      </c>
      <c r="F15" s="74">
        <f t="shared" si="5"/>
        <v>64936.107827562555</v>
      </c>
      <c r="G15" s="74">
        <f t="shared" si="5"/>
        <v>66136.078901445406</v>
      </c>
      <c r="H15" s="74">
        <f t="shared" si="5"/>
        <v>67336.049975328264</v>
      </c>
      <c r="I15" s="74">
        <f t="shared" si="5"/>
        <v>68536.021049211122</v>
      </c>
      <c r="J15" s="74">
        <f t="shared" si="5"/>
        <v>70190.4728470392</v>
      </c>
      <c r="K15" s="74">
        <f t="shared" si="5"/>
        <v>71844.924644867278</v>
      </c>
      <c r="L15" s="74">
        <f t="shared" si="5"/>
        <v>73499.376442695357</v>
      </c>
      <c r="M15" s="74">
        <f t="shared" si="5"/>
        <v>73499.376442695357</v>
      </c>
      <c r="N15" s="74">
        <f t="shared" si="5"/>
        <v>73499.376442695357</v>
      </c>
      <c r="O15" s="74">
        <f t="shared" si="5"/>
        <v>73499.376442695357</v>
      </c>
      <c r="P15" s="74">
        <f t="shared" si="5"/>
        <v>73499.376442695357</v>
      </c>
      <c r="Q15" s="74">
        <f t="shared" si="5"/>
        <v>73499.376442695357</v>
      </c>
      <c r="R15" s="74">
        <f t="shared" si="5"/>
        <v>73499.376442695357</v>
      </c>
      <c r="S15" s="74">
        <f t="shared" si="5"/>
        <v>73499.376442695357</v>
      </c>
      <c r="T15" s="74">
        <f t="shared" si="5"/>
        <v>73499.376442695357</v>
      </c>
      <c r="U15" s="74">
        <f t="shared" si="5"/>
        <v>73499.376442695357</v>
      </c>
      <c r="V15" s="74">
        <f t="shared" si="5"/>
        <v>73499.376442695357</v>
      </c>
      <c r="W15" s="74">
        <f t="shared" si="5"/>
        <v>73499.376442695357</v>
      </c>
      <c r="X15" s="74">
        <f t="shared" si="5"/>
        <v>73499.376442695357</v>
      </c>
      <c r="Y15" s="74">
        <f t="shared" si="5"/>
        <v>73499.376442695357</v>
      </c>
      <c r="Z15" s="74">
        <f t="shared" si="5"/>
        <v>73499.376442695357</v>
      </c>
      <c r="AA15" s="74">
        <f t="shared" si="5"/>
        <v>73499.376442695357</v>
      </c>
      <c r="AB15" s="74">
        <f t="shared" si="5"/>
        <v>73499.376442695357</v>
      </c>
      <c r="AC15" s="74">
        <f t="shared" si="5"/>
        <v>73499.376442695357</v>
      </c>
      <c r="AD15" s="74">
        <f t="shared" si="5"/>
        <v>73499.376442695357</v>
      </c>
      <c r="AE15" s="74">
        <f t="shared" si="5"/>
        <v>73499.376442695357</v>
      </c>
      <c r="AF15" s="74">
        <f t="shared" si="5"/>
        <v>73499.376442695357</v>
      </c>
    </row>
    <row r="16" spans="1:32" s="74" customFormat="1" x14ac:dyDescent="0.35">
      <c r="A16" s="74" t="s">
        <v>2</v>
      </c>
      <c r="B16" s="68">
        <f>B25</f>
        <v>55328.031716230806</v>
      </c>
      <c r="C16" s="68">
        <f t="shared" ref="C16:AF16" si="6">C25</f>
        <v>55983.160185820372</v>
      </c>
      <c r="D16" s="68">
        <f t="shared" si="6"/>
        <v>56638.288655409939</v>
      </c>
      <c r="E16" s="68">
        <f t="shared" si="6"/>
        <v>57293.417124999505</v>
      </c>
      <c r="F16" s="68">
        <f t="shared" si="6"/>
        <v>58493.388198882356</v>
      </c>
      <c r="G16" s="68">
        <f t="shared" si="6"/>
        <v>59693.359272765207</v>
      </c>
      <c r="H16" s="68">
        <f t="shared" si="6"/>
        <v>60893.330346648057</v>
      </c>
      <c r="I16" s="68">
        <f t="shared" si="6"/>
        <v>62093.301420530908</v>
      </c>
      <c r="J16" s="68">
        <f t="shared" si="6"/>
        <v>63747.753218358994</v>
      </c>
      <c r="K16" s="68">
        <f t="shared" si="6"/>
        <v>65402.205016187079</v>
      </c>
      <c r="L16" s="68">
        <f t="shared" si="6"/>
        <v>67056.656814015165</v>
      </c>
      <c r="M16" s="68">
        <f t="shared" si="6"/>
        <v>67056.656814015165</v>
      </c>
      <c r="N16" s="68">
        <f t="shared" si="6"/>
        <v>67056.656814015165</v>
      </c>
      <c r="O16" s="68">
        <f t="shared" si="6"/>
        <v>67056.656814015165</v>
      </c>
      <c r="P16" s="68">
        <f t="shared" si="6"/>
        <v>67056.656814015165</v>
      </c>
      <c r="Q16" s="68">
        <f t="shared" si="6"/>
        <v>67056.656814015165</v>
      </c>
      <c r="R16" s="68">
        <f t="shared" si="6"/>
        <v>67056.656814015165</v>
      </c>
      <c r="S16" s="68">
        <f t="shared" si="6"/>
        <v>67056.656814015165</v>
      </c>
      <c r="T16" s="68">
        <f t="shared" si="6"/>
        <v>67056.656814015165</v>
      </c>
      <c r="U16" s="68">
        <f t="shared" si="6"/>
        <v>67056.656814015165</v>
      </c>
      <c r="V16" s="68">
        <f t="shared" si="6"/>
        <v>67056.656814015165</v>
      </c>
      <c r="W16" s="68">
        <f t="shared" si="6"/>
        <v>67056.656814015165</v>
      </c>
      <c r="X16" s="68">
        <f t="shared" si="6"/>
        <v>67056.656814015165</v>
      </c>
      <c r="Y16" s="68">
        <f t="shared" si="6"/>
        <v>67056.656814015165</v>
      </c>
      <c r="Z16" s="68">
        <f t="shared" si="6"/>
        <v>67056.656814015165</v>
      </c>
      <c r="AA16" s="68">
        <f t="shared" si="6"/>
        <v>67056.656814015165</v>
      </c>
      <c r="AB16" s="68">
        <f t="shared" si="6"/>
        <v>67056.656814015165</v>
      </c>
      <c r="AC16" s="68">
        <f t="shared" si="6"/>
        <v>67056.656814015165</v>
      </c>
      <c r="AD16" s="68">
        <f t="shared" si="6"/>
        <v>67056.656814015165</v>
      </c>
      <c r="AE16" s="68">
        <f t="shared" si="6"/>
        <v>67056.656814015165</v>
      </c>
      <c r="AF16" s="68">
        <f t="shared" si="6"/>
        <v>67056.656814015165</v>
      </c>
    </row>
    <row r="17" spans="1:32" s="74" customFormat="1" x14ac:dyDescent="0.35">
      <c r="A17" s="74" t="s">
        <v>3</v>
      </c>
      <c r="B17" s="68">
        <f>B24</f>
        <v>61770.751344911005</v>
      </c>
      <c r="C17" s="68">
        <f t="shared" ref="C17:AF17" si="7">C24</f>
        <v>62425.879814500571</v>
      </c>
      <c r="D17" s="68">
        <f t="shared" si="7"/>
        <v>63081.008284090138</v>
      </c>
      <c r="E17" s="68">
        <f t="shared" si="7"/>
        <v>63736.136753679704</v>
      </c>
      <c r="F17" s="68">
        <f t="shared" si="7"/>
        <v>64936.107827562555</v>
      </c>
      <c r="G17" s="68">
        <f t="shared" si="7"/>
        <v>66136.078901445406</v>
      </c>
      <c r="H17" s="68">
        <f t="shared" si="7"/>
        <v>67336.049975328264</v>
      </c>
      <c r="I17" s="68">
        <f t="shared" si="7"/>
        <v>68536.021049211122</v>
      </c>
      <c r="J17" s="68">
        <f t="shared" si="7"/>
        <v>70190.4728470392</v>
      </c>
      <c r="K17" s="68">
        <f t="shared" si="7"/>
        <v>71844.924644867278</v>
      </c>
      <c r="L17" s="68">
        <f t="shared" si="7"/>
        <v>73499.376442695357</v>
      </c>
      <c r="M17" s="68">
        <f t="shared" si="7"/>
        <v>73499.376442695357</v>
      </c>
      <c r="N17" s="68">
        <f t="shared" si="7"/>
        <v>73499.376442695357</v>
      </c>
      <c r="O17" s="68">
        <f t="shared" si="7"/>
        <v>73499.376442695357</v>
      </c>
      <c r="P17" s="68">
        <f t="shared" si="7"/>
        <v>73499.376442695357</v>
      </c>
      <c r="Q17" s="68">
        <f t="shared" si="7"/>
        <v>73499.376442695357</v>
      </c>
      <c r="R17" s="68">
        <f t="shared" si="7"/>
        <v>73499.376442695357</v>
      </c>
      <c r="S17" s="68">
        <f t="shared" si="7"/>
        <v>73499.376442695357</v>
      </c>
      <c r="T17" s="68">
        <f t="shared" si="7"/>
        <v>73499.376442695357</v>
      </c>
      <c r="U17" s="68">
        <f t="shared" si="7"/>
        <v>73499.376442695357</v>
      </c>
      <c r="V17" s="68">
        <f t="shared" si="7"/>
        <v>73499.376442695357</v>
      </c>
      <c r="W17" s="68">
        <f t="shared" si="7"/>
        <v>73499.376442695357</v>
      </c>
      <c r="X17" s="68">
        <f t="shared" si="7"/>
        <v>73499.376442695357</v>
      </c>
      <c r="Y17" s="68">
        <f t="shared" si="7"/>
        <v>73499.376442695357</v>
      </c>
      <c r="Z17" s="68">
        <f t="shared" si="7"/>
        <v>73499.376442695357</v>
      </c>
      <c r="AA17" s="68">
        <f t="shared" si="7"/>
        <v>73499.376442695357</v>
      </c>
      <c r="AB17" s="68">
        <f t="shared" si="7"/>
        <v>73499.376442695357</v>
      </c>
      <c r="AC17" s="68">
        <f t="shared" si="7"/>
        <v>73499.376442695357</v>
      </c>
      <c r="AD17" s="68">
        <f t="shared" si="7"/>
        <v>73499.376442695357</v>
      </c>
      <c r="AE17" s="68">
        <f t="shared" si="7"/>
        <v>73499.376442695357</v>
      </c>
      <c r="AF17" s="68">
        <f t="shared" si="7"/>
        <v>73499.376442695357</v>
      </c>
    </row>
    <row r="18" spans="1:32" s="74" customFormat="1" x14ac:dyDescent="0.35">
      <c r="A18" s="74" t="s">
        <v>4</v>
      </c>
      <c r="B18" s="174">
        <v>999999</v>
      </c>
      <c r="C18" s="174">
        <v>999999</v>
      </c>
      <c r="D18" s="174">
        <v>999999</v>
      </c>
      <c r="E18" s="174">
        <v>999999</v>
      </c>
      <c r="F18" s="174">
        <v>999999</v>
      </c>
      <c r="G18" s="174">
        <v>999999</v>
      </c>
      <c r="H18" s="174">
        <v>999999</v>
      </c>
      <c r="I18" s="174">
        <v>999999</v>
      </c>
      <c r="J18" s="174">
        <v>999999</v>
      </c>
      <c r="K18" s="174">
        <v>999999</v>
      </c>
      <c r="L18" s="174">
        <v>999999</v>
      </c>
      <c r="M18" s="174">
        <v>999999</v>
      </c>
      <c r="N18" s="174">
        <v>999999</v>
      </c>
      <c r="O18" s="174">
        <v>999999</v>
      </c>
      <c r="P18" s="174">
        <v>999999</v>
      </c>
      <c r="Q18" s="174">
        <v>999999</v>
      </c>
      <c r="R18" s="174">
        <v>999999</v>
      </c>
      <c r="S18" s="174">
        <v>999999</v>
      </c>
      <c r="T18" s="174">
        <v>999999</v>
      </c>
      <c r="U18" s="174">
        <v>999999</v>
      </c>
      <c r="V18" s="174">
        <v>999999</v>
      </c>
      <c r="W18" s="174">
        <v>999999</v>
      </c>
      <c r="X18" s="174">
        <v>999999</v>
      </c>
      <c r="Y18" s="174">
        <v>999999</v>
      </c>
      <c r="Z18" s="174">
        <v>999999</v>
      </c>
      <c r="AA18" s="174">
        <v>999999</v>
      </c>
      <c r="AB18" s="174">
        <v>999999</v>
      </c>
      <c r="AC18" s="174">
        <v>999999</v>
      </c>
      <c r="AD18" s="174">
        <v>999999</v>
      </c>
      <c r="AE18" s="174">
        <v>999999</v>
      </c>
      <c r="AF18" s="174">
        <v>999999</v>
      </c>
    </row>
    <row r="19" spans="1:32" s="74" customFormat="1" x14ac:dyDescent="0.35">
      <c r="A19" s="74" t="s">
        <v>565</v>
      </c>
      <c r="B19" s="174">
        <v>999999</v>
      </c>
      <c r="C19" s="174">
        <v>999999</v>
      </c>
      <c r="D19" s="174">
        <v>999999</v>
      </c>
      <c r="E19" s="174">
        <v>999999</v>
      </c>
      <c r="F19" s="174">
        <v>999999</v>
      </c>
      <c r="G19" s="174">
        <v>999999</v>
      </c>
      <c r="H19" s="174">
        <v>999999</v>
      </c>
      <c r="I19" s="174">
        <v>999999</v>
      </c>
      <c r="J19" s="174">
        <v>999999</v>
      </c>
      <c r="K19" s="174">
        <v>999999</v>
      </c>
      <c r="L19" s="174">
        <v>999999</v>
      </c>
      <c r="M19" s="174">
        <v>999999</v>
      </c>
      <c r="N19" s="174">
        <v>999999</v>
      </c>
      <c r="O19" s="174">
        <v>999999</v>
      </c>
      <c r="P19" s="174">
        <v>999999</v>
      </c>
      <c r="Q19" s="174">
        <v>999999</v>
      </c>
      <c r="R19" s="174">
        <v>999999</v>
      </c>
      <c r="S19" s="174">
        <v>999999</v>
      </c>
      <c r="T19" s="174">
        <v>999999</v>
      </c>
      <c r="U19" s="174">
        <v>999999</v>
      </c>
      <c r="V19" s="174">
        <v>999999</v>
      </c>
      <c r="W19" s="174">
        <v>999999</v>
      </c>
      <c r="X19" s="174">
        <v>999999</v>
      </c>
      <c r="Y19" s="174">
        <v>999999</v>
      </c>
      <c r="Z19" s="174">
        <v>999999</v>
      </c>
      <c r="AA19" s="174">
        <v>999999</v>
      </c>
      <c r="AB19" s="174">
        <v>999999</v>
      </c>
      <c r="AC19" s="174">
        <v>999999</v>
      </c>
      <c r="AD19" s="174">
        <v>999999</v>
      </c>
      <c r="AE19" s="174">
        <v>999999</v>
      </c>
      <c r="AF19" s="174">
        <v>999999</v>
      </c>
    </row>
    <row r="20" spans="1:32" s="74" customFormat="1" x14ac:dyDescent="0.35">
      <c r="A20" s="74" t="s">
        <v>566</v>
      </c>
      <c r="B20" s="68">
        <f>B14*Hydrogen!B2</f>
        <v>87020.285462269123</v>
      </c>
      <c r="C20" s="68">
        <f>C14*Hydrogen!C2</f>
        <v>80236.410565500701</v>
      </c>
      <c r="D20" s="68">
        <f>D14*Hydrogen!D2</f>
        <v>76152.53277507551</v>
      </c>
      <c r="E20" s="68">
        <f>E14*Hydrogen!E2</f>
        <v>73295.507328908279</v>
      </c>
      <c r="F20" s="68">
        <f>F14*Hydrogen!F2</f>
        <v>71101.835718590592</v>
      </c>
      <c r="G20" s="68">
        <f>G14*Hydrogen!G2</f>
        <v>69433.546566004865</v>
      </c>
      <c r="H20" s="68">
        <f>H14*Hydrogen!H2</f>
        <v>68035.926845070135</v>
      </c>
      <c r="I20" s="68">
        <f>I14*Hydrogen!I2</f>
        <v>66829.580293227875</v>
      </c>
      <c r="J20" s="68">
        <f>J14*Hydrogen!J2</f>
        <v>65789.878060944509</v>
      </c>
      <c r="K20" s="68">
        <f>K14*Hydrogen!K2</f>
        <v>64879.830587444558</v>
      </c>
      <c r="L20" s="68">
        <f>L14*Hydrogen!L2</f>
        <v>64073.419558550711</v>
      </c>
      <c r="M20" s="68">
        <f>M14*Hydrogen!M2</f>
        <v>63385.0414150258</v>
      </c>
      <c r="N20" s="68">
        <f>N14*Hydrogen!N2</f>
        <v>62689.57845300348</v>
      </c>
      <c r="O20" s="68">
        <f>O14*Hydrogen!O2</f>
        <v>62045.423384824084</v>
      </c>
      <c r="P20" s="68">
        <f>P14*Hydrogen!P2</f>
        <v>61443.871261719483</v>
      </c>
      <c r="Q20" s="68">
        <f>Q14*Hydrogen!Q2</f>
        <v>60878.021716297197</v>
      </c>
      <c r="R20" s="68">
        <f>R14*Hydrogen!R2</f>
        <v>60338.743292863357</v>
      </c>
      <c r="S20" s="68">
        <f>S14*Hydrogen!S2</f>
        <v>59826.555932104093</v>
      </c>
      <c r="T20" s="68">
        <f>T14*Hydrogen!T2</f>
        <v>59336.532945308463</v>
      </c>
      <c r="U20" s="68">
        <f>U14*Hydrogen!U2</f>
        <v>58864.111874424176</v>
      </c>
      <c r="V20" s="68">
        <f>V14*Hydrogen!V2</f>
        <v>58405.957999604754</v>
      </c>
      <c r="W20" s="68">
        <f>W14*Hydrogen!W2</f>
        <v>57962.755246692162</v>
      </c>
      <c r="X20" s="68">
        <f>X14*Hydrogen!X2</f>
        <v>57531.895016279581</v>
      </c>
      <c r="Y20" s="68">
        <f>Y14*Hydrogen!Y2</f>
        <v>57111.610993807109</v>
      </c>
      <c r="Z20" s="68">
        <f>Z14*Hydrogen!Z2</f>
        <v>56700.462709346226</v>
      </c>
      <c r="AA20" s="68">
        <f>AA14*Hydrogen!AA2</f>
        <v>56297.225575274264</v>
      </c>
      <c r="AB20" s="68">
        <f>AB14*Hydrogen!AB2</f>
        <v>55901.03685504535</v>
      </c>
      <c r="AC20" s="68">
        <f>AC14*Hydrogen!AC2</f>
        <v>55510.867273981545</v>
      </c>
      <c r="AD20" s="68">
        <f>AD14*Hydrogen!AD2</f>
        <v>55125.975373643611</v>
      </c>
      <c r="AE20" s="68">
        <f>AE14*Hydrogen!AE2</f>
        <v>54745.767368929723</v>
      </c>
      <c r="AF20" s="68">
        <f>AF14*Hydrogen!AF2</f>
        <v>54369.727472963626</v>
      </c>
    </row>
    <row r="21" spans="1:32" s="74" customFormat="1" x14ac:dyDescent="0.35"/>
    <row r="22" spans="1:32" s="74" customFormat="1" x14ac:dyDescent="0.35">
      <c r="B22" s="74">
        <v>2020</v>
      </c>
      <c r="C22" s="74">
        <f>B22+1</f>
        <v>2021</v>
      </c>
      <c r="D22" s="74">
        <f>C22+1</f>
        <v>2022</v>
      </c>
      <c r="E22" s="74">
        <f t="shared" ref="E22:F22" si="8">D22+1</f>
        <v>2023</v>
      </c>
      <c r="F22" s="74">
        <f t="shared" si="8"/>
        <v>2024</v>
      </c>
      <c r="G22" s="74">
        <f t="shared" ref="G22:J22" si="9">F22+1</f>
        <v>2025</v>
      </c>
      <c r="H22" s="74">
        <f t="shared" si="9"/>
        <v>2026</v>
      </c>
      <c r="I22" s="74">
        <f t="shared" si="9"/>
        <v>2027</v>
      </c>
      <c r="J22" s="74">
        <f t="shared" si="9"/>
        <v>2028</v>
      </c>
      <c r="K22" s="74">
        <f t="shared" ref="K22:M22" si="10">J22+1</f>
        <v>2029</v>
      </c>
      <c r="L22" s="74">
        <f t="shared" si="10"/>
        <v>2030</v>
      </c>
      <c r="M22" s="74">
        <f t="shared" si="10"/>
        <v>2031</v>
      </c>
      <c r="N22" s="74">
        <f t="shared" ref="N22:AC22" si="11">M22+1</f>
        <v>2032</v>
      </c>
      <c r="O22" s="74">
        <f t="shared" si="11"/>
        <v>2033</v>
      </c>
      <c r="P22" s="74">
        <f t="shared" si="11"/>
        <v>2034</v>
      </c>
      <c r="Q22" s="74">
        <f t="shared" si="11"/>
        <v>2035</v>
      </c>
      <c r="R22" s="74">
        <f t="shared" si="11"/>
        <v>2036</v>
      </c>
      <c r="S22" s="74">
        <f t="shared" si="11"/>
        <v>2037</v>
      </c>
      <c r="T22" s="74">
        <f t="shared" si="11"/>
        <v>2038</v>
      </c>
      <c r="U22" s="74">
        <f t="shared" si="11"/>
        <v>2039</v>
      </c>
      <c r="V22" s="74">
        <f t="shared" si="11"/>
        <v>2040</v>
      </c>
      <c r="W22" s="74">
        <f t="shared" si="11"/>
        <v>2041</v>
      </c>
      <c r="X22" s="74">
        <f t="shared" si="11"/>
        <v>2042</v>
      </c>
      <c r="Y22" s="74">
        <f t="shared" si="11"/>
        <v>2043</v>
      </c>
      <c r="Z22" s="74">
        <f t="shared" si="11"/>
        <v>2044</v>
      </c>
      <c r="AA22" s="74">
        <f t="shared" si="11"/>
        <v>2045</v>
      </c>
      <c r="AB22" s="74">
        <f t="shared" si="11"/>
        <v>2046</v>
      </c>
      <c r="AC22" s="74">
        <f t="shared" si="11"/>
        <v>2047</v>
      </c>
      <c r="AD22" s="74">
        <f t="shared" ref="AD22:AF22" si="12">AC22+1</f>
        <v>2048</v>
      </c>
      <c r="AE22" s="74">
        <f t="shared" si="12"/>
        <v>2049</v>
      </c>
      <c r="AF22" s="74">
        <f t="shared" si="12"/>
        <v>2050</v>
      </c>
    </row>
    <row r="23" spans="1:32" s="74" customFormat="1" x14ac:dyDescent="0.35">
      <c r="A23" s="74" t="s">
        <v>719</v>
      </c>
      <c r="B23" s="68">
        <f>F37</f>
        <v>67682.444248431537</v>
      </c>
      <c r="C23" s="68">
        <f>B23-C77</f>
        <v>64636.263187440149</v>
      </c>
      <c r="D23" s="68">
        <f>$B$23-D77</f>
        <v>62656.194329867896</v>
      </c>
      <c r="E23" s="68">
        <f>$B$23-E77</f>
        <v>61233.108671695911</v>
      </c>
      <c r="F23" s="68">
        <f>$B$23-F77</f>
        <v>60117.712819672844</v>
      </c>
      <c r="G23" s="68">
        <f>$B$23-G77</f>
        <v>59292.122364730472</v>
      </c>
      <c r="H23" s="68">
        <f>$B$23-H77</f>
        <v>58592.258818223992</v>
      </c>
      <c r="I23" s="68">
        <f>$B$23-I77</f>
        <v>57980.079231890239</v>
      </c>
      <c r="J23" s="68">
        <f>$B$23-J77</f>
        <v>57453.796789201057</v>
      </c>
      <c r="K23" s="68">
        <f>$B$23-K77</f>
        <v>56994.682404184015</v>
      </c>
      <c r="L23" s="69">
        <f>$B$23-L77</f>
        <v>56589.51363453074</v>
      </c>
      <c r="M23" s="69">
        <f>$B$23-M77</f>
        <v>56230.623412956782</v>
      </c>
      <c r="N23" s="69">
        <f>$B$23-N77</f>
        <v>55916.241166720589</v>
      </c>
      <c r="O23" s="69">
        <f>$B$23-O77</f>
        <v>55644.433885214421</v>
      </c>
      <c r="P23" s="69">
        <f>$B$23-P77</f>
        <v>55408.054302325661</v>
      </c>
      <c r="Q23" s="69">
        <f>$B$23-Q77</f>
        <v>55201.433336524045</v>
      </c>
      <c r="R23" s="69">
        <f>$B$23-R77</f>
        <v>55016.74148265893</v>
      </c>
      <c r="S23" s="69">
        <f>$B$23-S77</f>
        <v>54854.823417634521</v>
      </c>
      <c r="T23" s="69">
        <f>$B$23-T77</f>
        <v>54711.520732076206</v>
      </c>
      <c r="U23" s="69">
        <f>$B$23-U77</f>
        <v>54582.918673408647</v>
      </c>
      <c r="V23" s="69">
        <f>$B$23-V77</f>
        <v>54466.158335186788</v>
      </c>
      <c r="W23" s="69">
        <f>$B$23-W77</f>
        <v>54362.084394314865</v>
      </c>
      <c r="X23" s="69">
        <f>$B$23-X77</f>
        <v>54268.455208239349</v>
      </c>
      <c r="Y23" s="69">
        <f>$B$23-Y77</f>
        <v>54183.776348591251</v>
      </c>
      <c r="Z23" s="69">
        <f>$B$23-Z77</f>
        <v>54106.829531374096</v>
      </c>
      <c r="AA23" s="69">
        <f>$B$23-AA77</f>
        <v>54036.575154244223</v>
      </c>
      <c r="AB23" s="69">
        <f>$B$23-AB77</f>
        <v>53972.298490590372</v>
      </c>
      <c r="AC23" s="69">
        <f>$B$23-AC77</f>
        <v>53913.106132148467</v>
      </c>
      <c r="AD23" s="69">
        <f>$B$23-AD77</f>
        <v>53858.364571240338</v>
      </c>
      <c r="AE23" s="69">
        <f>$B$23-AE77</f>
        <v>53807.57025048077</v>
      </c>
      <c r="AF23" s="69">
        <f>$B$23-AF77</f>
        <v>53760.284587631046</v>
      </c>
    </row>
    <row r="24" spans="1:32" s="74" customFormat="1" x14ac:dyDescent="0.35">
      <c r="A24" s="74" t="s">
        <v>538</v>
      </c>
      <c r="B24" s="68">
        <f>D35</f>
        <v>61770.751344911005</v>
      </c>
      <c r="C24" s="68">
        <f>B24+CARB!$B$23</f>
        <v>62425.879814500571</v>
      </c>
      <c r="D24" s="68">
        <f>C24+CARB!$B$23</f>
        <v>63081.008284090138</v>
      </c>
      <c r="E24" s="68">
        <f>D24+CARB!$B$23</f>
        <v>63736.136753679704</v>
      </c>
      <c r="F24" s="68">
        <f>E24+CARB!$C$23</f>
        <v>64936.107827562555</v>
      </c>
      <c r="G24" s="68">
        <f>F24+CARB!$C$23</f>
        <v>66136.078901445406</v>
      </c>
      <c r="H24" s="68">
        <f>G24+CARB!$C$23</f>
        <v>67336.049975328264</v>
      </c>
      <c r="I24" s="68">
        <f>H24+CARB!$C$23</f>
        <v>68536.021049211122</v>
      </c>
      <c r="J24" s="68">
        <f>I24+CARB!$D$23</f>
        <v>70190.4728470392</v>
      </c>
      <c r="K24" s="68">
        <f>J24+CARB!$D$23</f>
        <v>71844.924644867278</v>
      </c>
      <c r="L24" s="69">
        <f>K24+CARB!$D$23</f>
        <v>73499.376442695357</v>
      </c>
      <c r="M24" s="69">
        <f>L24</f>
        <v>73499.376442695357</v>
      </c>
      <c r="N24" s="69">
        <f t="shared" ref="N24:AB24" si="13">M24</f>
        <v>73499.376442695357</v>
      </c>
      <c r="O24" s="69">
        <f t="shared" si="13"/>
        <v>73499.376442695357</v>
      </c>
      <c r="P24" s="69">
        <f t="shared" si="13"/>
        <v>73499.376442695357</v>
      </c>
      <c r="Q24" s="69">
        <f t="shared" si="13"/>
        <v>73499.376442695357</v>
      </c>
      <c r="R24" s="69">
        <f t="shared" si="13"/>
        <v>73499.376442695357</v>
      </c>
      <c r="S24" s="69">
        <f t="shared" si="13"/>
        <v>73499.376442695357</v>
      </c>
      <c r="T24" s="69">
        <f t="shared" si="13"/>
        <v>73499.376442695357</v>
      </c>
      <c r="U24" s="69">
        <f t="shared" si="13"/>
        <v>73499.376442695357</v>
      </c>
      <c r="V24" s="69">
        <f t="shared" si="13"/>
        <v>73499.376442695357</v>
      </c>
      <c r="W24" s="69">
        <f t="shared" si="13"/>
        <v>73499.376442695357</v>
      </c>
      <c r="X24" s="69">
        <f t="shared" si="13"/>
        <v>73499.376442695357</v>
      </c>
      <c r="Y24" s="69">
        <f t="shared" si="13"/>
        <v>73499.376442695357</v>
      </c>
      <c r="Z24" s="69">
        <f t="shared" si="13"/>
        <v>73499.376442695357</v>
      </c>
      <c r="AA24" s="69">
        <f t="shared" si="13"/>
        <v>73499.376442695357</v>
      </c>
      <c r="AB24" s="69">
        <f t="shared" si="13"/>
        <v>73499.376442695357</v>
      </c>
      <c r="AC24" s="69">
        <f>AB24</f>
        <v>73499.376442695357</v>
      </c>
      <c r="AD24" s="69">
        <f t="shared" ref="AD24:AE24" si="14">AC24</f>
        <v>73499.376442695357</v>
      </c>
      <c r="AE24" s="69">
        <f t="shared" si="14"/>
        <v>73499.376442695357</v>
      </c>
      <c r="AF24" s="69">
        <f>AE24</f>
        <v>73499.376442695357</v>
      </c>
    </row>
    <row r="25" spans="1:32" s="74" customFormat="1" x14ac:dyDescent="0.35">
      <c r="A25" s="74" t="s">
        <v>251</v>
      </c>
      <c r="B25" s="68">
        <f>E36</f>
        <v>55328.031716230806</v>
      </c>
      <c r="C25" s="68">
        <f>B25+CARB!$B$23</f>
        <v>55983.160185820372</v>
      </c>
      <c r="D25" s="68">
        <f>C25+CARB!$B$23</f>
        <v>56638.288655409939</v>
      </c>
      <c r="E25" s="68">
        <f>D25+CARB!$B$23</f>
        <v>57293.417124999505</v>
      </c>
      <c r="F25" s="68">
        <f>E25+CARB!$C$23</f>
        <v>58493.388198882356</v>
      </c>
      <c r="G25" s="68">
        <f>F25+CARB!$C$23</f>
        <v>59693.359272765207</v>
      </c>
      <c r="H25" s="68">
        <f>G25+CARB!$C$23</f>
        <v>60893.330346648057</v>
      </c>
      <c r="I25" s="68">
        <f>H25+CARB!$C$23</f>
        <v>62093.301420530908</v>
      </c>
      <c r="J25" s="68">
        <f>I25+CARB!$D$23</f>
        <v>63747.753218358994</v>
      </c>
      <c r="K25" s="68">
        <f>J25+CARB!$D$23</f>
        <v>65402.205016187079</v>
      </c>
      <c r="L25" s="69">
        <f>K25+CARB!$D$23</f>
        <v>67056.656814015165</v>
      </c>
      <c r="M25" s="69">
        <f>L25</f>
        <v>67056.656814015165</v>
      </c>
      <c r="N25" s="69">
        <f t="shared" ref="N25:AB25" si="15">M25</f>
        <v>67056.656814015165</v>
      </c>
      <c r="O25" s="69">
        <f t="shared" si="15"/>
        <v>67056.656814015165</v>
      </c>
      <c r="P25" s="69">
        <f t="shared" si="15"/>
        <v>67056.656814015165</v>
      </c>
      <c r="Q25" s="69">
        <f t="shared" si="15"/>
        <v>67056.656814015165</v>
      </c>
      <c r="R25" s="69">
        <f t="shared" si="15"/>
        <v>67056.656814015165</v>
      </c>
      <c r="S25" s="69">
        <f t="shared" si="15"/>
        <v>67056.656814015165</v>
      </c>
      <c r="T25" s="69">
        <f t="shared" si="15"/>
        <v>67056.656814015165</v>
      </c>
      <c r="U25" s="69">
        <f t="shared" si="15"/>
        <v>67056.656814015165</v>
      </c>
      <c r="V25" s="69">
        <f t="shared" si="15"/>
        <v>67056.656814015165</v>
      </c>
      <c r="W25" s="69">
        <f t="shared" si="15"/>
        <v>67056.656814015165</v>
      </c>
      <c r="X25" s="69">
        <f t="shared" si="15"/>
        <v>67056.656814015165</v>
      </c>
      <c r="Y25" s="69">
        <f t="shared" si="15"/>
        <v>67056.656814015165</v>
      </c>
      <c r="Z25" s="69">
        <f t="shared" si="15"/>
        <v>67056.656814015165</v>
      </c>
      <c r="AA25" s="69">
        <f t="shared" si="15"/>
        <v>67056.656814015165</v>
      </c>
      <c r="AB25" s="69">
        <f t="shared" si="15"/>
        <v>67056.656814015165</v>
      </c>
      <c r="AC25" s="69">
        <f>AB25</f>
        <v>67056.656814015165</v>
      </c>
      <c r="AD25" s="69">
        <f t="shared" ref="AD25:AE25" si="16">AC25</f>
        <v>67056.656814015165</v>
      </c>
      <c r="AE25" s="69">
        <f t="shared" si="16"/>
        <v>67056.656814015165</v>
      </c>
      <c r="AF25" s="69">
        <f>AE25</f>
        <v>67056.656814015165</v>
      </c>
    </row>
    <row r="26" spans="1:32" s="74" customFormat="1" x14ac:dyDescent="0.35"/>
    <row r="27" spans="1:32" s="74" customFormat="1" x14ac:dyDescent="0.35"/>
    <row r="28" spans="1:32" s="74" customFormat="1" x14ac:dyDescent="0.35">
      <c r="A28" s="74" t="str">
        <f>CARB!C30</f>
        <v>Vehicle Group</v>
      </c>
      <c r="B28" s="74" t="str">
        <f>CARB!D30</f>
        <v>Vehicle Price</v>
      </c>
      <c r="C28" s="74" t="s">
        <v>1327</v>
      </c>
    </row>
    <row r="29" spans="1:32" s="74" customFormat="1" x14ac:dyDescent="0.35">
      <c r="A29" s="74" t="s">
        <v>1329</v>
      </c>
      <c r="B29" s="68">
        <f>B47</f>
        <v>49700</v>
      </c>
    </row>
    <row r="30" spans="1:32" s="74" customFormat="1" x14ac:dyDescent="0.35">
      <c r="A30" s="74" t="s">
        <v>1330</v>
      </c>
      <c r="B30" s="68">
        <f>B46</f>
        <v>58000</v>
      </c>
    </row>
    <row r="31" spans="1:32" s="74" customFormat="1" x14ac:dyDescent="0.35">
      <c r="A31" s="74" t="s">
        <v>1328</v>
      </c>
      <c r="B31" s="68">
        <f>$B$48</f>
        <v>53850</v>
      </c>
      <c r="C31" s="170">
        <f>CARB!B53</f>
        <v>0.7762312805638798</v>
      </c>
      <c r="D31" s="68">
        <f>C31*B30</f>
        <v>45021.414272705028</v>
      </c>
      <c r="E31" s="68">
        <f>C31*B29</f>
        <v>38578.694644024828</v>
      </c>
      <c r="F31" s="70">
        <f>B45</f>
        <v>62250</v>
      </c>
    </row>
    <row r="32" spans="1:32" s="74" customFormat="1" x14ac:dyDescent="0.35">
      <c r="A32" s="74" t="str">
        <f>CARB!C33</f>
        <v>Class 4-5</v>
      </c>
      <c r="B32" s="74">
        <f>CARB!D33</f>
        <v>55000</v>
      </c>
      <c r="C32" s="170">
        <f>CARB!C53</f>
        <v>9.5230931548944325E-2</v>
      </c>
      <c r="D32" s="68">
        <f t="shared" ref="D32:D34" si="17">C32*B32</f>
        <v>5237.7012351919375</v>
      </c>
      <c r="E32" s="68">
        <f>D32</f>
        <v>5237.7012351919375</v>
      </c>
      <c r="F32" s="70">
        <f>($F$31/$B$31)*B32</f>
        <v>63579.38718662953</v>
      </c>
    </row>
    <row r="33" spans="1:6" s="74" customFormat="1" x14ac:dyDescent="0.35">
      <c r="A33" s="74" t="str">
        <f>CARB!C34</f>
        <v>Class 6-7</v>
      </c>
      <c r="B33" s="74">
        <f>CARB!D34</f>
        <v>85000</v>
      </c>
      <c r="C33" s="170">
        <f>CARB!D53</f>
        <v>0.11179710598420206</v>
      </c>
      <c r="D33" s="68">
        <f t="shared" si="17"/>
        <v>9502.7540086571753</v>
      </c>
      <c r="E33" s="68">
        <f t="shared" ref="E33:E34" si="18">D33</f>
        <v>9502.7540086571753</v>
      </c>
      <c r="F33" s="70">
        <f>($F$31/$B$31)*B33</f>
        <v>98259.052924791089</v>
      </c>
    </row>
    <row r="34" spans="1:6" s="74" customFormat="1" x14ac:dyDescent="0.35">
      <c r="A34" s="74" t="str">
        <f>CARB!C35</f>
        <v>Class 8</v>
      </c>
      <c r="B34" s="74">
        <f>CARB!D35</f>
        <v>120000</v>
      </c>
      <c r="C34" s="170">
        <f>CARB!E53</f>
        <v>1.6740681902973849E-2</v>
      </c>
      <c r="D34" s="68">
        <f t="shared" si="17"/>
        <v>2008.8818283568619</v>
      </c>
      <c r="E34" s="68">
        <f t="shared" si="18"/>
        <v>2008.8818283568619</v>
      </c>
      <c r="F34" s="70">
        <f>($F$31/$B$31)*B34</f>
        <v>138718.66295264626</v>
      </c>
    </row>
    <row r="35" spans="1:6" s="74" customFormat="1" x14ac:dyDescent="0.35">
      <c r="C35" s="74" t="s">
        <v>1333</v>
      </c>
      <c r="D35" s="68">
        <f>SUM(D31:D34)</f>
        <v>61770.751344911005</v>
      </c>
    </row>
    <row r="36" spans="1:6" s="74" customFormat="1" x14ac:dyDescent="0.35">
      <c r="D36" s="74" t="s">
        <v>1334</v>
      </c>
      <c r="E36" s="68">
        <f>SUM(E31:E34)</f>
        <v>55328.031716230806</v>
      </c>
    </row>
    <row r="37" spans="1:6" s="74" customFormat="1" x14ac:dyDescent="0.35">
      <c r="E37" s="74" t="s">
        <v>1335</v>
      </c>
      <c r="F37" s="68">
        <f>C31*F31+C32*F32+C33*F33+C34*F34</f>
        <v>67682.444248431537</v>
      </c>
    </row>
    <row r="38" spans="1:6" s="74" customFormat="1" x14ac:dyDescent="0.35">
      <c r="A38" s="74" t="s">
        <v>1331</v>
      </c>
    </row>
    <row r="39" spans="1:6" s="74" customFormat="1" x14ac:dyDescent="0.35">
      <c r="A39" s="171" t="s">
        <v>1332</v>
      </c>
    </row>
    <row r="40" spans="1:6" s="74" customFormat="1" x14ac:dyDescent="0.35">
      <c r="A40" s="171"/>
    </row>
    <row r="41" spans="1:6" x14ac:dyDescent="0.35">
      <c r="A41" t="s">
        <v>1308</v>
      </c>
    </row>
    <row r="42" spans="1:6" x14ac:dyDescent="0.35">
      <c r="A42" t="s">
        <v>1309</v>
      </c>
    </row>
    <row r="44" spans="1:6" s="74" customFormat="1" x14ac:dyDescent="0.35">
      <c r="C44" s="74" t="s">
        <v>1315</v>
      </c>
      <c r="D44" s="74" t="s">
        <v>1324</v>
      </c>
      <c r="E44" s="74" t="s">
        <v>1325</v>
      </c>
    </row>
    <row r="45" spans="1:6" s="74" customFormat="1" x14ac:dyDescent="0.35">
      <c r="A45" s="74" t="s">
        <v>1323</v>
      </c>
      <c r="B45" s="68">
        <f>AVERAGE(D51,D52)</f>
        <v>62250</v>
      </c>
      <c r="C45" s="68">
        <f>AVERAGE(D54,D55)</f>
        <v>14674</v>
      </c>
      <c r="D45" s="75">
        <f>C45/B45</f>
        <v>0.23572690763052209</v>
      </c>
    </row>
    <row r="46" spans="1:6" s="74" customFormat="1" x14ac:dyDescent="0.35">
      <c r="A46" s="74" t="s">
        <v>538</v>
      </c>
      <c r="B46" s="68">
        <f t="shared" ref="B46" si="19">C65</f>
        <v>58000</v>
      </c>
      <c r="E46" s="74">
        <f>B45/B46</f>
        <v>1.0732758620689655</v>
      </c>
    </row>
    <row r="47" spans="1:6" s="74" customFormat="1" x14ac:dyDescent="0.35">
      <c r="A47" s="74" t="s">
        <v>251</v>
      </c>
      <c r="B47" s="68">
        <f>D65</f>
        <v>49700</v>
      </c>
    </row>
    <row r="48" spans="1:6" s="74" customFormat="1" x14ac:dyDescent="0.35">
      <c r="A48" s="74" t="s">
        <v>1326</v>
      </c>
      <c r="B48" s="68">
        <f>AVERAGE(B46,B47)</f>
        <v>53850</v>
      </c>
    </row>
    <row r="49" spans="1:4" s="74" customFormat="1" x14ac:dyDescent="0.35"/>
    <row r="50" spans="1:4" x14ac:dyDescent="0.35">
      <c r="B50" s="1" t="s">
        <v>1320</v>
      </c>
      <c r="C50" s="1" t="s">
        <v>1321</v>
      </c>
      <c r="D50" t="s">
        <v>1322</v>
      </c>
    </row>
    <row r="51" spans="1:4" x14ac:dyDescent="0.35">
      <c r="A51" t="s">
        <v>1310</v>
      </c>
      <c r="B51" s="77">
        <v>47000</v>
      </c>
      <c r="C51" s="77">
        <v>68000</v>
      </c>
      <c r="D51" s="77">
        <f>AVERAGE(B51:C51)</f>
        <v>57500</v>
      </c>
    </row>
    <row r="52" spans="1:4" x14ac:dyDescent="0.35">
      <c r="A52" t="s">
        <v>1311</v>
      </c>
      <c r="B52" s="77">
        <v>54000</v>
      </c>
      <c r="C52" s="77">
        <v>80000</v>
      </c>
      <c r="D52" s="77">
        <f>AVERAGE(B52:C52)</f>
        <v>67000</v>
      </c>
    </row>
    <row r="53" spans="1:4" s="74" customFormat="1" x14ac:dyDescent="0.35">
      <c r="A53" s="1" t="s">
        <v>1319</v>
      </c>
      <c r="B53" s="77"/>
      <c r="C53" s="77"/>
      <c r="D53" s="77"/>
    </row>
    <row r="54" spans="1:4" s="74" customFormat="1" x14ac:dyDescent="0.35">
      <c r="A54" s="74" t="s">
        <v>1310</v>
      </c>
      <c r="B54" s="77">
        <f>B57*B60</f>
        <v>5740</v>
      </c>
      <c r="C54" s="77">
        <f>C57*C60</f>
        <v>21016</v>
      </c>
      <c r="D54" s="77">
        <f t="shared" ref="D54:D55" si="20">AVERAGE(B54:C54)</f>
        <v>13378</v>
      </c>
    </row>
    <row r="55" spans="1:4" s="74" customFormat="1" x14ac:dyDescent="0.35">
      <c r="A55" s="74" t="s">
        <v>1311</v>
      </c>
      <c r="B55" s="77">
        <f>B58*B61</f>
        <v>6880</v>
      </c>
      <c r="C55" s="77">
        <f>C58*C61</f>
        <v>25060</v>
      </c>
      <c r="D55" s="77">
        <f t="shared" si="20"/>
        <v>15970</v>
      </c>
    </row>
    <row r="56" spans="1:4" x14ac:dyDescent="0.35">
      <c r="A56" s="1" t="s">
        <v>1317</v>
      </c>
    </row>
    <row r="57" spans="1:4" s="74" customFormat="1" x14ac:dyDescent="0.35">
      <c r="A57" s="74" t="s">
        <v>1310</v>
      </c>
      <c r="B57">
        <v>35</v>
      </c>
      <c r="C57" s="169">
        <v>148</v>
      </c>
      <c r="D57"/>
    </row>
    <row r="58" spans="1:4" s="74" customFormat="1" x14ac:dyDescent="0.35">
      <c r="A58" s="74" t="s">
        <v>1311</v>
      </c>
      <c r="B58">
        <v>43</v>
      </c>
      <c r="C58" s="169">
        <v>179</v>
      </c>
    </row>
    <row r="59" spans="1:4" s="74" customFormat="1" x14ac:dyDescent="0.35">
      <c r="A59" s="1" t="s">
        <v>1318</v>
      </c>
      <c r="C59" s="169"/>
    </row>
    <row r="60" spans="1:4" x14ac:dyDescent="0.35">
      <c r="A60" s="74" t="s">
        <v>1310</v>
      </c>
      <c r="B60">
        <v>164</v>
      </c>
      <c r="C60">
        <v>142</v>
      </c>
    </row>
    <row r="61" spans="1:4" s="74" customFormat="1" x14ac:dyDescent="0.35">
      <c r="A61" s="74" t="s">
        <v>1311</v>
      </c>
      <c r="B61" s="74">
        <v>160</v>
      </c>
      <c r="C61" s="74">
        <v>140</v>
      </c>
    </row>
    <row r="62" spans="1:4" x14ac:dyDescent="0.35">
      <c r="B62" t="s">
        <v>719</v>
      </c>
      <c r="C62" t="s">
        <v>1312</v>
      </c>
      <c r="D62" t="s">
        <v>251</v>
      </c>
    </row>
    <row r="63" spans="1:4" x14ac:dyDescent="0.35">
      <c r="A63" t="s">
        <v>828</v>
      </c>
      <c r="B63" s="77">
        <f>D51</f>
        <v>57500</v>
      </c>
      <c r="C63" s="77">
        <v>56000</v>
      </c>
      <c r="D63" s="77">
        <f>C63*CARB!E31</f>
        <v>50400</v>
      </c>
    </row>
    <row r="64" spans="1:4" x14ac:dyDescent="0.35">
      <c r="A64" t="s">
        <v>788</v>
      </c>
      <c r="B64" s="77">
        <f>D52</f>
        <v>67000</v>
      </c>
      <c r="C64" s="77">
        <v>60000</v>
      </c>
      <c r="D64" s="77">
        <v>49000</v>
      </c>
    </row>
    <row r="65" spans="1:32" x14ac:dyDescent="0.35">
      <c r="A65" t="s">
        <v>1313</v>
      </c>
      <c r="B65" s="68">
        <f>AVERAGE(B63,B64)</f>
        <v>62250</v>
      </c>
      <c r="C65" s="68">
        <f t="shared" ref="C65:D65" si="21">AVERAGE(C63,C64)</f>
        <v>58000</v>
      </c>
      <c r="D65" s="68">
        <f t="shared" si="21"/>
        <v>49700</v>
      </c>
    </row>
    <row r="68" spans="1:32" x14ac:dyDescent="0.35">
      <c r="B68">
        <f>B13</f>
        <v>2020</v>
      </c>
      <c r="C68">
        <f>C13</f>
        <v>2021</v>
      </c>
      <c r="D68">
        <f>D13</f>
        <v>2022</v>
      </c>
      <c r="E68">
        <f>E13</f>
        <v>2023</v>
      </c>
      <c r="F68">
        <f>F13</f>
        <v>2024</v>
      </c>
      <c r="G68">
        <f>G13</f>
        <v>2025</v>
      </c>
      <c r="H68">
        <f>H13</f>
        <v>2026</v>
      </c>
      <c r="I68">
        <f>I13</f>
        <v>2027</v>
      </c>
      <c r="J68">
        <f>J13</f>
        <v>2028</v>
      </c>
      <c r="K68">
        <f>K13</f>
        <v>2029</v>
      </c>
      <c r="L68">
        <f>L13</f>
        <v>2030</v>
      </c>
      <c r="M68">
        <f>M13</f>
        <v>2031</v>
      </c>
      <c r="N68">
        <f>N13</f>
        <v>2032</v>
      </c>
      <c r="O68">
        <f>O13</f>
        <v>2033</v>
      </c>
      <c r="P68">
        <f>P13</f>
        <v>2034</v>
      </c>
      <c r="Q68">
        <f>Q13</f>
        <v>2035</v>
      </c>
      <c r="R68">
        <f>R13</f>
        <v>2036</v>
      </c>
      <c r="S68">
        <f>S13</f>
        <v>2037</v>
      </c>
      <c r="T68">
        <f>T13</f>
        <v>2038</v>
      </c>
      <c r="U68">
        <f>U13</f>
        <v>2039</v>
      </c>
      <c r="V68">
        <f>V13</f>
        <v>2040</v>
      </c>
      <c r="W68">
        <f>W13</f>
        <v>2041</v>
      </c>
      <c r="X68">
        <f>X13</f>
        <v>2042</v>
      </c>
      <c r="Y68">
        <f>Y13</f>
        <v>2043</v>
      </c>
      <c r="Z68">
        <f>Z13</f>
        <v>2044</v>
      </c>
      <c r="AA68">
        <f>AA13</f>
        <v>2045</v>
      </c>
      <c r="AB68">
        <f>AB13</f>
        <v>2046</v>
      </c>
      <c r="AC68">
        <f>AC13</f>
        <v>2047</v>
      </c>
      <c r="AD68">
        <f>AD13</f>
        <v>2048</v>
      </c>
      <c r="AE68">
        <f>AE13</f>
        <v>2049</v>
      </c>
      <c r="AF68">
        <f>AF13</f>
        <v>2050</v>
      </c>
    </row>
    <row r="69" spans="1:32" x14ac:dyDescent="0.35">
      <c r="A69" t="str">
        <f t="shared" ref="A69:AF69" si="22">A14</f>
        <v>battery electric vehicle</v>
      </c>
      <c r="B69">
        <f t="shared" si="22"/>
        <v>67682.444248431537</v>
      </c>
      <c r="C69">
        <f t="shared" si="22"/>
        <v>64636.263187440149</v>
      </c>
      <c r="D69">
        <f t="shared" si="22"/>
        <v>62656.194329867896</v>
      </c>
      <c r="E69">
        <f t="shared" si="22"/>
        <v>61233.108671695911</v>
      </c>
      <c r="F69">
        <f t="shared" si="22"/>
        <v>60117.712819672844</v>
      </c>
      <c r="G69">
        <f t="shared" si="22"/>
        <v>59292.122364730472</v>
      </c>
      <c r="H69">
        <f t="shared" si="22"/>
        <v>58592.258818223992</v>
      </c>
      <c r="I69">
        <f t="shared" si="22"/>
        <v>57980.079231890239</v>
      </c>
      <c r="J69">
        <f t="shared" si="22"/>
        <v>57453.796789201057</v>
      </c>
      <c r="K69">
        <f t="shared" si="22"/>
        <v>56994.682404184015</v>
      </c>
      <c r="L69">
        <f t="shared" si="22"/>
        <v>56589.51363453074</v>
      </c>
      <c r="M69">
        <f t="shared" si="22"/>
        <v>56230.623412956782</v>
      </c>
      <c r="N69">
        <f t="shared" si="22"/>
        <v>55916.241166720589</v>
      </c>
      <c r="O69">
        <f t="shared" si="22"/>
        <v>55644.433885214421</v>
      </c>
      <c r="P69">
        <f t="shared" si="22"/>
        <v>55408.054302325661</v>
      </c>
      <c r="Q69">
        <f t="shared" si="22"/>
        <v>55201.433336524045</v>
      </c>
      <c r="R69">
        <f t="shared" si="22"/>
        <v>55016.74148265893</v>
      </c>
      <c r="S69">
        <f t="shared" si="22"/>
        <v>54854.823417634521</v>
      </c>
      <c r="T69">
        <f t="shared" si="22"/>
        <v>54711.520732076206</v>
      </c>
      <c r="U69">
        <f t="shared" si="22"/>
        <v>54582.918673408647</v>
      </c>
      <c r="V69">
        <f t="shared" si="22"/>
        <v>54466.158335186788</v>
      </c>
      <c r="W69">
        <f t="shared" si="22"/>
        <v>54362.084394314865</v>
      </c>
      <c r="X69">
        <f t="shared" si="22"/>
        <v>54268.455208239349</v>
      </c>
      <c r="Y69">
        <f t="shared" si="22"/>
        <v>54183.776348591251</v>
      </c>
      <c r="Z69">
        <f t="shared" si="22"/>
        <v>54106.829531374096</v>
      </c>
      <c r="AA69">
        <f t="shared" si="22"/>
        <v>54036.575154244223</v>
      </c>
      <c r="AB69">
        <f t="shared" si="22"/>
        <v>53972.298490590372</v>
      </c>
      <c r="AC69">
        <f t="shared" si="22"/>
        <v>53913.106132148467</v>
      </c>
      <c r="AD69">
        <f t="shared" si="22"/>
        <v>53858.364571240338</v>
      </c>
      <c r="AE69">
        <f t="shared" si="22"/>
        <v>53807.57025048077</v>
      </c>
      <c r="AF69">
        <f t="shared" si="22"/>
        <v>53760.284587631046</v>
      </c>
    </row>
    <row r="70" spans="1:32" s="74" customFormat="1" x14ac:dyDescent="0.35">
      <c r="B70" s="68">
        <f>B76</f>
        <v>16243.786619623568</v>
      </c>
      <c r="C70" s="68">
        <f>$B$70-C77</f>
        <v>13197.605558632182</v>
      </c>
      <c r="D70" s="68">
        <f t="shared" ref="D70:AF70" si="23">$B$70-D77</f>
        <v>11217.536701059926</v>
      </c>
      <c r="E70" s="68">
        <f t="shared" si="23"/>
        <v>9794.4510428879439</v>
      </c>
      <c r="F70" s="68">
        <f t="shared" si="23"/>
        <v>8679.0551908648722</v>
      </c>
      <c r="G70" s="68">
        <f t="shared" si="23"/>
        <v>7853.4647359225037</v>
      </c>
      <c r="H70" s="68">
        <f t="shared" si="23"/>
        <v>7153.6011894160238</v>
      </c>
      <c r="I70" s="68">
        <f t="shared" si="23"/>
        <v>6541.4216030822699</v>
      </c>
      <c r="J70" s="68">
        <f t="shared" si="23"/>
        <v>6015.1391603930861</v>
      </c>
      <c r="K70" s="68">
        <f t="shared" si="23"/>
        <v>5556.024775376045</v>
      </c>
      <c r="L70" s="68">
        <f t="shared" si="23"/>
        <v>5150.8560057227733</v>
      </c>
      <c r="M70" s="68">
        <f t="shared" si="23"/>
        <v>4791.9657841488115</v>
      </c>
      <c r="N70" s="68">
        <f t="shared" si="23"/>
        <v>4477.5835379126183</v>
      </c>
      <c r="O70" s="68">
        <f t="shared" si="23"/>
        <v>4205.7762564064542</v>
      </c>
      <c r="P70" s="68">
        <f t="shared" si="23"/>
        <v>3969.3966735176946</v>
      </c>
      <c r="Q70" s="68">
        <f t="shared" si="23"/>
        <v>3762.7757077160804</v>
      </c>
      <c r="R70" s="68">
        <f t="shared" si="23"/>
        <v>3578.0838538509615</v>
      </c>
      <c r="S70" s="68">
        <f t="shared" si="23"/>
        <v>3416.1657888265545</v>
      </c>
      <c r="T70" s="68">
        <f t="shared" si="23"/>
        <v>3272.8631032682351</v>
      </c>
      <c r="U70" s="68">
        <f t="shared" si="23"/>
        <v>3144.2610446006765</v>
      </c>
      <c r="V70" s="68">
        <f t="shared" si="23"/>
        <v>3027.5007063788198</v>
      </c>
      <c r="W70" s="68">
        <f t="shared" si="23"/>
        <v>2923.4267655068925</v>
      </c>
      <c r="X70" s="68">
        <f t="shared" si="23"/>
        <v>2829.7975794313825</v>
      </c>
      <c r="Y70" s="68">
        <f t="shared" si="23"/>
        <v>2745.1187197832842</v>
      </c>
      <c r="Z70" s="68">
        <f t="shared" si="23"/>
        <v>2668.1719025661278</v>
      </c>
      <c r="AA70" s="68">
        <f t="shared" si="23"/>
        <v>2597.9175254362563</v>
      </c>
      <c r="AB70" s="68">
        <f t="shared" si="23"/>
        <v>2533.6408617824054</v>
      </c>
      <c r="AC70" s="68">
        <f t="shared" si="23"/>
        <v>2474.4485033404981</v>
      </c>
      <c r="AD70" s="68">
        <f t="shared" si="23"/>
        <v>2419.7069424323672</v>
      </c>
      <c r="AE70" s="68">
        <f t="shared" si="23"/>
        <v>2368.9126216728018</v>
      </c>
      <c r="AF70" s="68">
        <f t="shared" si="23"/>
        <v>2321.6269588230789</v>
      </c>
    </row>
    <row r="71" spans="1:32" s="74" customFormat="1" x14ac:dyDescent="0.35">
      <c r="A71" s="199" t="s">
        <v>1370</v>
      </c>
      <c r="B71" s="75">
        <f>B70/B69</f>
        <v>0.24</v>
      </c>
      <c r="C71" s="75">
        <f>C70/C69</f>
        <v>0.20418268179211024</v>
      </c>
      <c r="D71" s="75">
        <f t="shared" ref="D71:AF71" si="24">D70/D69</f>
        <v>0.17903316377631606</v>
      </c>
      <c r="E71" s="75">
        <f t="shared" si="24"/>
        <v>0.15995351624888648</v>
      </c>
      <c r="F71" s="75">
        <f t="shared" si="24"/>
        <v>0.14436768772122596</v>
      </c>
      <c r="G71" s="75">
        <f t="shared" si="24"/>
        <v>0.13245376321010369</v>
      </c>
      <c r="H71" s="75">
        <f t="shared" si="24"/>
        <v>0.12209123412717848</v>
      </c>
      <c r="I71" s="75">
        <f t="shared" si="24"/>
        <v>0.11282188106228654</v>
      </c>
      <c r="J71" s="75">
        <f t="shared" si="24"/>
        <v>0.10469524203009128</v>
      </c>
      <c r="K71" s="75">
        <f t="shared" si="24"/>
        <v>9.7483213187765275E-2</v>
      </c>
      <c r="L71" s="75">
        <f t="shared" si="24"/>
        <v>9.1021386735858731E-2</v>
      </c>
      <c r="M71" s="75">
        <f t="shared" si="24"/>
        <v>8.5219858740613511E-2</v>
      </c>
      <c r="N71" s="75">
        <f t="shared" si="24"/>
        <v>8.0076618965895741E-2</v>
      </c>
      <c r="O71" s="75">
        <f t="shared" si="24"/>
        <v>7.5583054094544272E-2</v>
      </c>
      <c r="P71" s="75">
        <f t="shared" si="24"/>
        <v>7.163934419821498E-2</v>
      </c>
      <c r="Q71" s="75">
        <f t="shared" si="24"/>
        <v>6.8164456614325603E-2</v>
      </c>
      <c r="R71" s="75">
        <f t="shared" si="24"/>
        <v>6.5036273640065728E-2</v>
      </c>
      <c r="S71" s="75">
        <f t="shared" si="24"/>
        <v>6.2276488665686566E-2</v>
      </c>
      <c r="T71" s="75">
        <f t="shared" si="24"/>
        <v>5.9820364330495111E-2</v>
      </c>
      <c r="U71" s="75">
        <f t="shared" si="24"/>
        <v>5.7605220113164768E-2</v>
      </c>
      <c r="V71" s="75">
        <f t="shared" si="24"/>
        <v>5.5584987062011357E-2</v>
      </c>
      <c r="W71" s="75">
        <f t="shared" si="24"/>
        <v>5.3776943950527067E-2</v>
      </c>
      <c r="X71" s="75">
        <f t="shared" si="24"/>
        <v>5.2144428445085836E-2</v>
      </c>
      <c r="Y71" s="75">
        <f t="shared" si="24"/>
        <v>5.0663111816396232E-2</v>
      </c>
      <c r="Z71" s="75">
        <f t="shared" si="24"/>
        <v>4.9313033598077961E-2</v>
      </c>
      <c r="AA71" s="75">
        <f t="shared" si="24"/>
        <v>4.8077020388887594E-2</v>
      </c>
      <c r="AB71" s="75">
        <f t="shared" si="24"/>
        <v>4.6943356733716371E-2</v>
      </c>
      <c r="AC71" s="75">
        <f t="shared" si="24"/>
        <v>4.5896975352807221E-2</v>
      </c>
      <c r="AD71" s="75">
        <f t="shared" si="24"/>
        <v>4.4927226470676367E-2</v>
      </c>
      <c r="AE71" s="75">
        <f t="shared" si="24"/>
        <v>4.4025638226093948E-2</v>
      </c>
      <c r="AF71" s="75">
        <f t="shared" si="24"/>
        <v>4.3184796669719076E-2</v>
      </c>
    </row>
    <row r="73" spans="1:32" x14ac:dyDescent="0.35">
      <c r="A73" t="s">
        <v>1307</v>
      </c>
    </row>
    <row r="74" spans="1:32" x14ac:dyDescent="0.35">
      <c r="A74" t="s">
        <v>1305</v>
      </c>
      <c r="B74">
        <v>2020</v>
      </c>
      <c r="C74">
        <v>2021</v>
      </c>
      <c r="D74">
        <v>2022</v>
      </c>
      <c r="E74">
        <v>2023</v>
      </c>
      <c r="F74">
        <v>2024</v>
      </c>
      <c r="G74">
        <v>2025</v>
      </c>
      <c r="H74">
        <v>2026</v>
      </c>
      <c r="I74">
        <v>2027</v>
      </c>
      <c r="J74">
        <v>2028</v>
      </c>
      <c r="K74">
        <v>2029</v>
      </c>
      <c r="L74">
        <v>2030</v>
      </c>
      <c r="M74">
        <v>2031</v>
      </c>
      <c r="N74">
        <v>2032</v>
      </c>
      <c r="O74">
        <v>2033</v>
      </c>
      <c r="P74">
        <v>2034</v>
      </c>
      <c r="Q74">
        <v>2035</v>
      </c>
      <c r="R74">
        <v>2036</v>
      </c>
      <c r="S74">
        <v>2037</v>
      </c>
      <c r="T74">
        <v>2038</v>
      </c>
      <c r="U74">
        <v>2039</v>
      </c>
      <c r="V74">
        <v>2040</v>
      </c>
      <c r="W74">
        <v>2041</v>
      </c>
      <c r="X74">
        <v>2042</v>
      </c>
      <c r="Y74">
        <v>2043</v>
      </c>
      <c r="Z74">
        <v>2044</v>
      </c>
      <c r="AA74">
        <v>2045</v>
      </c>
      <c r="AB74">
        <v>2046</v>
      </c>
      <c r="AC74">
        <v>2047</v>
      </c>
      <c r="AD74">
        <v>2048</v>
      </c>
      <c r="AE74">
        <v>2049</v>
      </c>
      <c r="AF74">
        <v>2050</v>
      </c>
    </row>
    <row r="75" spans="1:32" x14ac:dyDescent="0.35">
      <c r="A75" t="s">
        <v>1306</v>
      </c>
      <c r="B75">
        <v>1</v>
      </c>
      <c r="C75">
        <v>0.81247100000000005</v>
      </c>
      <c r="D75">
        <v>0.69057400000000002</v>
      </c>
      <c r="E75">
        <v>0.602966</v>
      </c>
      <c r="F75">
        <v>0.5343</v>
      </c>
      <c r="G75">
        <v>0.48347499999999999</v>
      </c>
      <c r="H75">
        <v>0.44039</v>
      </c>
      <c r="I75">
        <v>0.40270299999999998</v>
      </c>
      <c r="J75">
        <v>0.37030400000000002</v>
      </c>
      <c r="K75">
        <v>0.34204000000000001</v>
      </c>
      <c r="L75">
        <v>0.31709700000000002</v>
      </c>
      <c r="M75">
        <v>0.29500300000000002</v>
      </c>
      <c r="N75">
        <v>0.27564899999999998</v>
      </c>
      <c r="O75">
        <v>0.25891599999999998</v>
      </c>
      <c r="P75">
        <v>0.244364</v>
      </c>
      <c r="Q75">
        <v>0.23164399999999999</v>
      </c>
      <c r="R75">
        <v>0.220274</v>
      </c>
      <c r="S75">
        <v>0.21030599999999999</v>
      </c>
      <c r="T75">
        <v>0.201484</v>
      </c>
      <c r="U75">
        <v>0.19356699999999999</v>
      </c>
      <c r="V75">
        <v>0.18637899999999999</v>
      </c>
      <c r="W75">
        <v>0.17997199999999999</v>
      </c>
      <c r="X75">
        <v>0.174208</v>
      </c>
      <c r="Y75">
        <v>0.16899500000000001</v>
      </c>
      <c r="Z75">
        <v>0.16425799999999999</v>
      </c>
      <c r="AA75">
        <v>0.15993299999999999</v>
      </c>
      <c r="AB75">
        <v>0.155976</v>
      </c>
      <c r="AC75">
        <v>0.152332</v>
      </c>
      <c r="AD75">
        <v>0.14896200000000001</v>
      </c>
      <c r="AE75">
        <v>0.14583499999999999</v>
      </c>
      <c r="AF75">
        <v>0.142924</v>
      </c>
    </row>
    <row r="76" spans="1:32" x14ac:dyDescent="0.35">
      <c r="A76" t="s">
        <v>1336</v>
      </c>
      <c r="B76" s="68">
        <f>0.24*F37</f>
        <v>16243.786619623568</v>
      </c>
    </row>
    <row r="77" spans="1:32" x14ac:dyDescent="0.35">
      <c r="A77" t="s">
        <v>1337</v>
      </c>
      <c r="C77" s="68">
        <f>(1-C75)*$B$76</f>
        <v>3046.1810609913873</v>
      </c>
      <c r="D77" s="68">
        <f>(1-D75)*$B$76</f>
        <v>5026.2499185636416</v>
      </c>
      <c r="E77" s="68">
        <f>(1-E75)*$B$76</f>
        <v>6449.3355767356234</v>
      </c>
      <c r="F77" s="68">
        <f>(1-F75)*$B$76</f>
        <v>7564.731428758696</v>
      </c>
      <c r="G77" s="68">
        <f>(1-G75)*$B$76</f>
        <v>8390.3218837010645</v>
      </c>
      <c r="H77" s="68">
        <f>(1-H75)*$B$76</f>
        <v>9090.1854302075444</v>
      </c>
      <c r="I77" s="68">
        <f>(1-I75)*$B$76</f>
        <v>9702.3650165412982</v>
      </c>
      <c r="J77" s="68">
        <f>(1-J75)*$B$76</f>
        <v>10228.647459230482</v>
      </c>
      <c r="K77" s="68">
        <f>(1-K75)*$B$76</f>
        <v>10687.761844247523</v>
      </c>
      <c r="L77" s="68">
        <f>(1-L75)*$B$76</f>
        <v>11092.930613900795</v>
      </c>
      <c r="M77" s="68">
        <f>(1-M75)*$B$76</f>
        <v>11451.820835474757</v>
      </c>
      <c r="N77" s="68">
        <f>(1-N75)*$B$76</f>
        <v>11766.20308171095</v>
      </c>
      <c r="O77" s="68">
        <f>(1-O75)*$B$76</f>
        <v>12038.010363217114</v>
      </c>
      <c r="P77" s="68">
        <f>(1-P75)*$B$76</f>
        <v>12274.389946105874</v>
      </c>
      <c r="Q77" s="68">
        <f>(1-Q75)*$B$76</f>
        <v>12481.010911907488</v>
      </c>
      <c r="R77" s="68">
        <f>(1-R75)*$B$76</f>
        <v>12665.702765772607</v>
      </c>
      <c r="S77" s="68">
        <f>(1-S75)*$B$76</f>
        <v>12827.620830797014</v>
      </c>
      <c r="T77" s="68">
        <f>(1-T75)*$B$76</f>
        <v>12970.923516355333</v>
      </c>
      <c r="U77" s="68">
        <f>(1-U75)*$B$76</f>
        <v>13099.525575022892</v>
      </c>
      <c r="V77" s="68">
        <f>(1-V75)*$B$76</f>
        <v>13216.285913244748</v>
      </c>
      <c r="W77" s="68">
        <f>(1-W75)*$B$76</f>
        <v>13320.359854116676</v>
      </c>
      <c r="X77" s="68">
        <f>(1-X75)*$B$76</f>
        <v>13413.989040192186</v>
      </c>
      <c r="Y77" s="68">
        <f>(1-Y75)*$B$76</f>
        <v>13498.667899840284</v>
      </c>
      <c r="Z77" s="68">
        <f>(1-Z75)*$B$76</f>
        <v>13575.61471705744</v>
      </c>
      <c r="AA77" s="68">
        <f>(1-AA75)*$B$76</f>
        <v>13645.869094187312</v>
      </c>
      <c r="AB77" s="68">
        <f>(1-AB75)*$B$76</f>
        <v>13710.145757841163</v>
      </c>
      <c r="AC77" s="68">
        <f>(1-AC75)*$B$76</f>
        <v>13769.33811628307</v>
      </c>
      <c r="AD77" s="68">
        <f>(1-AD75)*$B$76</f>
        <v>13824.079677191201</v>
      </c>
      <c r="AE77" s="68">
        <f>(1-AE75)*$B$76</f>
        <v>13874.873997950766</v>
      </c>
      <c r="AF77" s="68">
        <f>(1-AF75)*$B$76</f>
        <v>13922.159660800489</v>
      </c>
    </row>
    <row r="79" spans="1:32" x14ac:dyDescent="0.35">
      <c r="A79" t="s">
        <v>1316</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711725-B7B9-4AEC-9918-049FAD17455D}">
  <sheetPr>
    <tabColor theme="9"/>
  </sheetPr>
  <dimension ref="A1:AV30"/>
  <sheetViews>
    <sheetView topLeftCell="W1" workbookViewId="0">
      <selection activeCell="B2" sqref="B2:AF8"/>
    </sheetView>
  </sheetViews>
  <sheetFormatPr defaultRowHeight="14.5" x14ac:dyDescent="0.35"/>
  <cols>
    <col min="1" max="1" width="16.6328125" customWidth="1"/>
    <col min="2" max="2" width="20.26953125" customWidth="1"/>
    <col min="3" max="32" width="12.08984375" bestFit="1" customWidth="1"/>
  </cols>
  <sheetData>
    <row r="1" spans="1:48" s="74" customFormat="1" x14ac:dyDescent="0.35">
      <c r="B1" s="74">
        <v>2020</v>
      </c>
      <c r="C1" s="74">
        <f>B1+1</f>
        <v>2021</v>
      </c>
      <c r="D1" s="74">
        <f t="shared" ref="D1:AF1" si="0">C1+1</f>
        <v>2022</v>
      </c>
      <c r="E1" s="74">
        <f t="shared" si="0"/>
        <v>2023</v>
      </c>
      <c r="F1" s="74">
        <f t="shared" si="0"/>
        <v>2024</v>
      </c>
      <c r="G1" s="74">
        <f t="shared" si="0"/>
        <v>2025</v>
      </c>
      <c r="H1" s="74">
        <f t="shared" si="0"/>
        <v>2026</v>
      </c>
      <c r="I1" s="74">
        <f t="shared" si="0"/>
        <v>2027</v>
      </c>
      <c r="J1" s="74">
        <f t="shared" si="0"/>
        <v>2028</v>
      </c>
      <c r="K1" s="74">
        <f t="shared" si="0"/>
        <v>2029</v>
      </c>
      <c r="L1" s="74">
        <f t="shared" si="0"/>
        <v>2030</v>
      </c>
      <c r="M1" s="74">
        <f t="shared" si="0"/>
        <v>2031</v>
      </c>
      <c r="N1" s="74">
        <f t="shared" si="0"/>
        <v>2032</v>
      </c>
      <c r="O1" s="74">
        <f t="shared" si="0"/>
        <v>2033</v>
      </c>
      <c r="P1" s="74">
        <f t="shared" si="0"/>
        <v>2034</v>
      </c>
      <c r="Q1" s="74">
        <f t="shared" si="0"/>
        <v>2035</v>
      </c>
      <c r="R1" s="74">
        <f t="shared" si="0"/>
        <v>2036</v>
      </c>
      <c r="S1" s="74">
        <f t="shared" si="0"/>
        <v>2037</v>
      </c>
      <c r="T1" s="74">
        <f t="shared" si="0"/>
        <v>2038</v>
      </c>
      <c r="U1" s="74">
        <f t="shared" si="0"/>
        <v>2039</v>
      </c>
      <c r="V1" s="74">
        <f t="shared" si="0"/>
        <v>2040</v>
      </c>
      <c r="W1" s="74">
        <f t="shared" si="0"/>
        <v>2041</v>
      </c>
      <c r="X1" s="74">
        <f t="shared" si="0"/>
        <v>2042</v>
      </c>
      <c r="Y1" s="74">
        <f t="shared" si="0"/>
        <v>2043</v>
      </c>
      <c r="Z1" s="74">
        <f t="shared" si="0"/>
        <v>2044</v>
      </c>
      <c r="AA1" s="74">
        <f t="shared" si="0"/>
        <v>2045</v>
      </c>
      <c r="AB1" s="74">
        <f t="shared" si="0"/>
        <v>2046</v>
      </c>
      <c r="AC1" s="74">
        <f t="shared" si="0"/>
        <v>2047</v>
      </c>
      <c r="AD1" s="74">
        <f t="shared" si="0"/>
        <v>2048</v>
      </c>
      <c r="AE1" s="74">
        <f t="shared" si="0"/>
        <v>2049</v>
      </c>
      <c r="AF1" s="74">
        <f t="shared" si="0"/>
        <v>2050</v>
      </c>
    </row>
    <row r="2" spans="1:48" s="74" customFormat="1" x14ac:dyDescent="0.35">
      <c r="A2" s="74" t="s">
        <v>0</v>
      </c>
      <c r="B2" s="70">
        <f>C24</f>
        <v>500810.28671999997</v>
      </c>
      <c r="C2" s="70">
        <f>$B$2*('HDV frt'!C3/'HDV frt'!$B$3)</f>
        <v>465611.4411129778</v>
      </c>
      <c r="D2" s="70">
        <f>$B$2*('HDV frt'!D3/'HDV frt'!$B$3)</f>
        <v>442731.60021925357</v>
      </c>
      <c r="E2" s="70">
        <f>$B$2*('HDV frt'!E3/'HDV frt'!$B$3)</f>
        <v>426287.74105112505</v>
      </c>
      <c r="F2" s="70">
        <f>$B$2*('HDV frt'!F3/'HDV frt'!$B$3)</f>
        <v>413399.26016309287</v>
      </c>
      <c r="G2" s="70">
        <f>$B$2*('HDV frt'!G3/'HDV frt'!$B$3)</f>
        <v>403859.50189649459</v>
      </c>
      <c r="H2" s="70">
        <f>$B$2*('HDV frt'!H3/'HDV frt'!$B$3)</f>
        <v>395772.52727934974</v>
      </c>
      <c r="I2" s="70">
        <f>$B$2*('HDV frt'!I3/'HDV frt'!$B$3)</f>
        <v>388698.74725390383</v>
      </c>
      <c r="J2" s="70">
        <f>$B$2*('HDV frt'!J3/'HDV frt'!$B$3)</f>
        <v>382617.51502410515</v>
      </c>
      <c r="K2" s="70">
        <f>$B$2*('HDV frt'!K3/'HDV frt'!$B$3)</f>
        <v>377312.41462770314</v>
      </c>
      <c r="L2" s="70">
        <f>$B$2*('HDV frt'!L3/'HDV frt'!$B$3)</f>
        <v>372630.65977391542</v>
      </c>
      <c r="M2" s="70">
        <f>$B$2*('HDV frt'!M3/'HDV frt'!$B$3)</f>
        <v>368483.65693786583</v>
      </c>
      <c r="N2" s="70">
        <f>$B$2*('HDV frt'!N3/'HDV frt'!$B$3)</f>
        <v>364850.94702164852</v>
      </c>
      <c r="O2" s="70">
        <f>$B$2*('HDV frt'!O3/'HDV frt'!$B$3)</f>
        <v>361710.19394589873</v>
      </c>
      <c r="P2" s="70">
        <f>$B$2*('HDV frt'!P3/'HDV frt'!$B$3)</f>
        <v>358978.81052640948</v>
      </c>
      <c r="Q2" s="70">
        <f>$B$2*('HDV frt'!Q3/'HDV frt'!$B$3)</f>
        <v>356591.29011025344</v>
      </c>
      <c r="R2" s="70">
        <f>$B$2*('HDV frt'!R3/'HDV frt'!$B$3)</f>
        <v>354457.16219109512</v>
      </c>
      <c r="S2" s="70">
        <f>$B$2*('HDV frt'!S3/'HDV frt'!$B$3)</f>
        <v>352586.18707252259</v>
      </c>
      <c r="T2" s="70">
        <f>$B$2*('HDV frt'!T3/'HDV frt'!$B$3)</f>
        <v>350930.31402917911</v>
      </c>
      <c r="U2" s="70">
        <f>$B$2*('HDV frt'!U3/'HDV frt'!$B$3)</f>
        <v>349444.3078078971</v>
      </c>
      <c r="V2" s="70">
        <f>$B$2*('HDV frt'!V3/'HDV frt'!$B$3)</f>
        <v>348095.13353499386</v>
      </c>
      <c r="W2" s="70">
        <f>$B$2*('HDV frt'!W3/'HDV frt'!$B$3)</f>
        <v>346892.55151405744</v>
      </c>
      <c r="X2" s="70">
        <f>$B$2*('HDV frt'!X3/'HDV frt'!$B$3)</f>
        <v>345810.65940095024</v>
      </c>
      <c r="Y2" s="70">
        <f>$B$2*('HDV frt'!Y3/'HDV frt'!$B$3)</f>
        <v>344832.18896624731</v>
      </c>
      <c r="Z2" s="70">
        <f>$B$2*('HDV frt'!Z3/'HDV frt'!$B$3)</f>
        <v>343943.06284900435</v>
      </c>
      <c r="AA2" s="70">
        <f>$B$2*('HDV frt'!AA3/'HDV frt'!$B$3)</f>
        <v>343131.26836788206</v>
      </c>
      <c r="AB2" s="70">
        <f>$B$2*('HDV frt'!AB3/'HDV frt'!$B$3)</f>
        <v>342388.54680445994</v>
      </c>
      <c r="AC2" s="70">
        <f>$B$2*('HDV frt'!AC3/'HDV frt'!$B$3)</f>
        <v>341704.57476071204</v>
      </c>
      <c r="AD2" s="70">
        <f>$B$2*('HDV frt'!AD3/'HDV frt'!$B$3)</f>
        <v>341072.03200894746</v>
      </c>
      <c r="AE2" s="70">
        <f>$B$2*('HDV frt'!AE3/'HDV frt'!$B$3)</f>
        <v>340485.09990664246</v>
      </c>
      <c r="AF2" s="70">
        <f>$B$2*('HDV frt'!AF3/'HDV frt'!$B$3)</f>
        <v>339938.71060385706</v>
      </c>
    </row>
    <row r="3" spans="1:48" s="74" customFormat="1" x14ac:dyDescent="0.35">
      <c r="A3" s="74" t="s">
        <v>1</v>
      </c>
      <c r="B3" s="70">
        <f>B5</f>
        <v>393020</v>
      </c>
      <c r="C3" s="70">
        <f>B3</f>
        <v>393020</v>
      </c>
      <c r="D3" s="70">
        <f t="shared" ref="D3:AF7" si="1">C3</f>
        <v>393020</v>
      </c>
      <c r="E3" s="70">
        <f t="shared" si="1"/>
        <v>393020</v>
      </c>
      <c r="F3" s="70">
        <f t="shared" si="1"/>
        <v>393020</v>
      </c>
      <c r="G3" s="70">
        <f t="shared" si="1"/>
        <v>393020</v>
      </c>
      <c r="H3" s="70">
        <f t="shared" si="1"/>
        <v>393020</v>
      </c>
      <c r="I3" s="70">
        <f t="shared" si="1"/>
        <v>393020</v>
      </c>
      <c r="J3" s="70">
        <f t="shared" si="1"/>
        <v>393020</v>
      </c>
      <c r="K3" s="70">
        <f t="shared" si="1"/>
        <v>393020</v>
      </c>
      <c r="L3" s="70">
        <f t="shared" si="1"/>
        <v>393020</v>
      </c>
      <c r="M3" s="70">
        <f t="shared" si="1"/>
        <v>393020</v>
      </c>
      <c r="N3" s="70">
        <f t="shared" si="1"/>
        <v>393020</v>
      </c>
      <c r="O3" s="70">
        <f t="shared" si="1"/>
        <v>393020</v>
      </c>
      <c r="P3" s="70">
        <f t="shared" si="1"/>
        <v>393020</v>
      </c>
      <c r="Q3" s="70">
        <f t="shared" si="1"/>
        <v>393020</v>
      </c>
      <c r="R3" s="70">
        <f t="shared" si="1"/>
        <v>393020</v>
      </c>
      <c r="S3" s="70">
        <f t="shared" si="1"/>
        <v>393020</v>
      </c>
      <c r="T3" s="70">
        <f t="shared" si="1"/>
        <v>393020</v>
      </c>
      <c r="U3" s="70">
        <f t="shared" si="1"/>
        <v>393020</v>
      </c>
      <c r="V3" s="70">
        <f t="shared" si="1"/>
        <v>393020</v>
      </c>
      <c r="W3" s="70">
        <f t="shared" si="1"/>
        <v>393020</v>
      </c>
      <c r="X3" s="70">
        <f t="shared" si="1"/>
        <v>393020</v>
      </c>
      <c r="Y3" s="70">
        <f t="shared" si="1"/>
        <v>393020</v>
      </c>
      <c r="Z3" s="70">
        <f t="shared" si="1"/>
        <v>393020</v>
      </c>
      <c r="AA3" s="70">
        <f t="shared" si="1"/>
        <v>393020</v>
      </c>
      <c r="AB3" s="70">
        <f t="shared" si="1"/>
        <v>393020</v>
      </c>
      <c r="AC3" s="70">
        <f t="shared" si="1"/>
        <v>393020</v>
      </c>
      <c r="AD3" s="70">
        <f t="shared" si="1"/>
        <v>393020</v>
      </c>
      <c r="AE3" s="70">
        <f t="shared" si="1"/>
        <v>393020</v>
      </c>
      <c r="AF3" s="70">
        <f t="shared" si="1"/>
        <v>393020</v>
      </c>
    </row>
    <row r="4" spans="1:48" s="74" customFormat="1" x14ac:dyDescent="0.35">
      <c r="A4" s="74" t="s">
        <v>2</v>
      </c>
      <c r="B4" s="70">
        <f>B5*CARB!E31</f>
        <v>353718</v>
      </c>
      <c r="C4" s="70">
        <f t="shared" ref="C4:R7" si="2">B4</f>
        <v>353718</v>
      </c>
      <c r="D4" s="70">
        <f t="shared" si="2"/>
        <v>353718</v>
      </c>
      <c r="E4" s="70">
        <f t="shared" si="2"/>
        <v>353718</v>
      </c>
      <c r="F4" s="70">
        <f t="shared" si="2"/>
        <v>353718</v>
      </c>
      <c r="G4" s="70">
        <f t="shared" si="2"/>
        <v>353718</v>
      </c>
      <c r="H4" s="70">
        <f t="shared" si="2"/>
        <v>353718</v>
      </c>
      <c r="I4" s="70">
        <f t="shared" si="2"/>
        <v>353718</v>
      </c>
      <c r="J4" s="70">
        <f t="shared" si="2"/>
        <v>353718</v>
      </c>
      <c r="K4" s="70">
        <f t="shared" si="2"/>
        <v>353718</v>
      </c>
      <c r="L4" s="70">
        <f t="shared" si="2"/>
        <v>353718</v>
      </c>
      <c r="M4" s="70">
        <f t="shared" si="2"/>
        <v>353718</v>
      </c>
      <c r="N4" s="70">
        <f t="shared" si="2"/>
        <v>353718</v>
      </c>
      <c r="O4" s="70">
        <f t="shared" si="2"/>
        <v>353718</v>
      </c>
      <c r="P4" s="70">
        <f t="shared" si="2"/>
        <v>353718</v>
      </c>
      <c r="Q4" s="70">
        <f t="shared" si="2"/>
        <v>353718</v>
      </c>
      <c r="R4" s="70">
        <f t="shared" si="2"/>
        <v>353718</v>
      </c>
      <c r="S4" s="70">
        <f t="shared" si="1"/>
        <v>353718</v>
      </c>
      <c r="T4" s="70">
        <f t="shared" si="1"/>
        <v>353718</v>
      </c>
      <c r="U4" s="70">
        <f t="shared" si="1"/>
        <v>353718</v>
      </c>
      <c r="V4" s="70">
        <f t="shared" si="1"/>
        <v>353718</v>
      </c>
      <c r="W4" s="70">
        <f t="shared" si="1"/>
        <v>353718</v>
      </c>
      <c r="X4" s="70">
        <f t="shared" si="1"/>
        <v>353718</v>
      </c>
      <c r="Y4" s="70">
        <f t="shared" si="1"/>
        <v>353718</v>
      </c>
      <c r="Z4" s="70">
        <f t="shared" si="1"/>
        <v>353718</v>
      </c>
      <c r="AA4" s="70">
        <f t="shared" si="1"/>
        <v>353718</v>
      </c>
      <c r="AB4" s="70">
        <f t="shared" si="1"/>
        <v>353718</v>
      </c>
      <c r="AC4" s="70">
        <f t="shared" si="1"/>
        <v>353718</v>
      </c>
      <c r="AD4" s="70">
        <f t="shared" si="1"/>
        <v>353718</v>
      </c>
      <c r="AE4" s="70">
        <f t="shared" si="1"/>
        <v>353718</v>
      </c>
      <c r="AF4" s="70">
        <f t="shared" si="1"/>
        <v>353718</v>
      </c>
    </row>
    <row r="5" spans="1:48" x14ac:dyDescent="0.35">
      <c r="A5" s="74" t="s">
        <v>3</v>
      </c>
      <c r="B5" s="70">
        <f>C21</f>
        <v>393020</v>
      </c>
      <c r="C5" s="70">
        <f t="shared" si="2"/>
        <v>393020</v>
      </c>
      <c r="D5" s="70">
        <f t="shared" si="1"/>
        <v>393020</v>
      </c>
      <c r="E5" s="70">
        <f t="shared" si="1"/>
        <v>393020</v>
      </c>
      <c r="F5" s="70">
        <f t="shared" si="1"/>
        <v>393020</v>
      </c>
      <c r="G5" s="70">
        <f t="shared" si="1"/>
        <v>393020</v>
      </c>
      <c r="H5" s="70">
        <f t="shared" si="1"/>
        <v>393020</v>
      </c>
      <c r="I5" s="70">
        <f t="shared" si="1"/>
        <v>393020</v>
      </c>
      <c r="J5" s="70">
        <f t="shared" si="1"/>
        <v>393020</v>
      </c>
      <c r="K5" s="70">
        <f t="shared" si="1"/>
        <v>393020</v>
      </c>
      <c r="L5" s="70">
        <f t="shared" si="1"/>
        <v>393020</v>
      </c>
      <c r="M5" s="70">
        <f t="shared" si="1"/>
        <v>393020</v>
      </c>
      <c r="N5" s="70">
        <f t="shared" si="1"/>
        <v>393020</v>
      </c>
      <c r="O5" s="70">
        <f t="shared" si="1"/>
        <v>393020</v>
      </c>
      <c r="P5" s="70">
        <f t="shared" si="1"/>
        <v>393020</v>
      </c>
      <c r="Q5" s="70">
        <f t="shared" si="1"/>
        <v>393020</v>
      </c>
      <c r="R5" s="70">
        <f t="shared" si="1"/>
        <v>393020</v>
      </c>
      <c r="S5" s="70">
        <f t="shared" si="1"/>
        <v>393020</v>
      </c>
      <c r="T5" s="70">
        <f t="shared" si="1"/>
        <v>393020</v>
      </c>
      <c r="U5" s="70">
        <f t="shared" si="1"/>
        <v>393020</v>
      </c>
      <c r="V5" s="70">
        <f t="shared" si="1"/>
        <v>393020</v>
      </c>
      <c r="W5" s="70">
        <f t="shared" si="1"/>
        <v>393020</v>
      </c>
      <c r="X5" s="70">
        <f t="shared" si="1"/>
        <v>393020</v>
      </c>
      <c r="Y5" s="70">
        <f t="shared" si="1"/>
        <v>393020</v>
      </c>
      <c r="Z5" s="70">
        <f t="shared" si="1"/>
        <v>393020</v>
      </c>
      <c r="AA5" s="70">
        <f t="shared" si="1"/>
        <v>393020</v>
      </c>
      <c r="AB5" s="70">
        <f t="shared" si="1"/>
        <v>393020</v>
      </c>
      <c r="AC5" s="70">
        <f t="shared" si="1"/>
        <v>393020</v>
      </c>
      <c r="AD5" s="70">
        <f t="shared" si="1"/>
        <v>393020</v>
      </c>
      <c r="AE5" s="70">
        <f t="shared" si="1"/>
        <v>393020</v>
      </c>
      <c r="AF5" s="70">
        <f t="shared" si="1"/>
        <v>393020</v>
      </c>
      <c r="AG5" s="74"/>
      <c r="AH5" s="74"/>
      <c r="AI5" s="74"/>
      <c r="AJ5" s="74"/>
      <c r="AK5" s="74"/>
      <c r="AL5" s="74"/>
      <c r="AM5" s="74"/>
      <c r="AN5" s="74"/>
      <c r="AO5" s="74"/>
      <c r="AP5" s="74"/>
      <c r="AQ5" s="74"/>
      <c r="AR5" s="74"/>
      <c r="AS5" s="74"/>
      <c r="AT5" s="74"/>
      <c r="AU5" s="74"/>
      <c r="AV5" s="74"/>
    </row>
    <row r="6" spans="1:48" x14ac:dyDescent="0.35">
      <c r="A6" t="s">
        <v>4</v>
      </c>
      <c r="B6" s="70">
        <v>999999</v>
      </c>
      <c r="C6" s="70">
        <f t="shared" si="2"/>
        <v>999999</v>
      </c>
      <c r="D6" s="70">
        <f t="shared" si="1"/>
        <v>999999</v>
      </c>
      <c r="E6" s="70">
        <f t="shared" si="1"/>
        <v>999999</v>
      </c>
      <c r="F6" s="70">
        <f t="shared" si="1"/>
        <v>999999</v>
      </c>
      <c r="G6" s="70">
        <f t="shared" si="1"/>
        <v>999999</v>
      </c>
      <c r="H6" s="70">
        <f t="shared" si="1"/>
        <v>999999</v>
      </c>
      <c r="I6" s="70">
        <f t="shared" si="1"/>
        <v>999999</v>
      </c>
      <c r="J6" s="70">
        <f t="shared" si="1"/>
        <v>999999</v>
      </c>
      <c r="K6" s="70">
        <f t="shared" si="1"/>
        <v>999999</v>
      </c>
      <c r="L6" s="70">
        <f t="shared" si="1"/>
        <v>999999</v>
      </c>
      <c r="M6" s="70">
        <f t="shared" si="1"/>
        <v>999999</v>
      </c>
      <c r="N6" s="70">
        <f t="shared" si="1"/>
        <v>999999</v>
      </c>
      <c r="O6" s="70">
        <f t="shared" si="1"/>
        <v>999999</v>
      </c>
      <c r="P6" s="70">
        <f t="shared" si="1"/>
        <v>999999</v>
      </c>
      <c r="Q6" s="70">
        <f t="shared" si="1"/>
        <v>999999</v>
      </c>
      <c r="R6" s="70">
        <f t="shared" si="1"/>
        <v>999999</v>
      </c>
      <c r="S6" s="70">
        <f t="shared" si="1"/>
        <v>999999</v>
      </c>
      <c r="T6" s="70">
        <f t="shared" si="1"/>
        <v>999999</v>
      </c>
      <c r="U6" s="70">
        <f t="shared" si="1"/>
        <v>999999</v>
      </c>
      <c r="V6" s="70">
        <f t="shared" si="1"/>
        <v>999999</v>
      </c>
      <c r="W6" s="70">
        <f t="shared" si="1"/>
        <v>999999</v>
      </c>
      <c r="X6" s="70">
        <f t="shared" si="1"/>
        <v>999999</v>
      </c>
      <c r="Y6" s="70">
        <f t="shared" si="1"/>
        <v>999999</v>
      </c>
      <c r="Z6" s="70">
        <f t="shared" si="1"/>
        <v>999999</v>
      </c>
      <c r="AA6" s="70">
        <f t="shared" si="1"/>
        <v>999999</v>
      </c>
      <c r="AB6" s="70">
        <f t="shared" si="1"/>
        <v>999999</v>
      </c>
      <c r="AC6" s="70">
        <f t="shared" si="1"/>
        <v>999999</v>
      </c>
      <c r="AD6" s="70">
        <f t="shared" si="1"/>
        <v>999999</v>
      </c>
      <c r="AE6" s="70">
        <f t="shared" si="1"/>
        <v>999999</v>
      </c>
      <c r="AF6" s="70">
        <f t="shared" si="1"/>
        <v>999999</v>
      </c>
      <c r="AG6" s="74"/>
      <c r="AH6" s="74"/>
      <c r="AI6" s="74"/>
      <c r="AJ6" s="74"/>
      <c r="AK6" s="74"/>
      <c r="AL6" s="74"/>
      <c r="AM6" s="74"/>
      <c r="AN6" s="74"/>
      <c r="AO6" s="74"/>
      <c r="AP6" s="74"/>
      <c r="AQ6" s="74"/>
      <c r="AR6" s="74"/>
      <c r="AS6" s="74"/>
      <c r="AT6" s="74"/>
      <c r="AU6" s="74"/>
      <c r="AV6" s="74"/>
    </row>
    <row r="7" spans="1:48" x14ac:dyDescent="0.35">
      <c r="A7" t="s">
        <v>565</v>
      </c>
      <c r="B7" s="70">
        <v>999999</v>
      </c>
      <c r="C7" s="70">
        <f t="shared" si="2"/>
        <v>999999</v>
      </c>
      <c r="D7" s="70">
        <f t="shared" si="1"/>
        <v>999999</v>
      </c>
      <c r="E7" s="70">
        <f t="shared" si="1"/>
        <v>999999</v>
      </c>
      <c r="F7" s="70">
        <f t="shared" si="1"/>
        <v>999999</v>
      </c>
      <c r="G7" s="70">
        <f t="shared" si="1"/>
        <v>999999</v>
      </c>
      <c r="H7" s="70">
        <f t="shared" si="1"/>
        <v>999999</v>
      </c>
      <c r="I7" s="70">
        <f t="shared" si="1"/>
        <v>999999</v>
      </c>
      <c r="J7" s="70">
        <f t="shared" si="1"/>
        <v>999999</v>
      </c>
      <c r="K7" s="70">
        <f t="shared" si="1"/>
        <v>999999</v>
      </c>
      <c r="L7" s="70">
        <f t="shared" si="1"/>
        <v>999999</v>
      </c>
      <c r="M7" s="70">
        <f t="shared" si="1"/>
        <v>999999</v>
      </c>
      <c r="N7" s="70">
        <f t="shared" si="1"/>
        <v>999999</v>
      </c>
      <c r="O7" s="70">
        <f t="shared" si="1"/>
        <v>999999</v>
      </c>
      <c r="P7" s="70">
        <f t="shared" si="1"/>
        <v>999999</v>
      </c>
      <c r="Q7" s="70">
        <f t="shared" si="1"/>
        <v>999999</v>
      </c>
      <c r="R7" s="70">
        <f t="shared" si="1"/>
        <v>999999</v>
      </c>
      <c r="S7" s="70">
        <f t="shared" si="1"/>
        <v>999999</v>
      </c>
      <c r="T7" s="70">
        <f t="shared" si="1"/>
        <v>999999</v>
      </c>
      <c r="U7" s="70">
        <f t="shared" si="1"/>
        <v>999999</v>
      </c>
      <c r="V7" s="70">
        <f t="shared" si="1"/>
        <v>999999</v>
      </c>
      <c r="W7" s="70">
        <f t="shared" si="1"/>
        <v>999999</v>
      </c>
      <c r="X7" s="70">
        <f t="shared" si="1"/>
        <v>999999</v>
      </c>
      <c r="Y7" s="70">
        <f t="shared" si="1"/>
        <v>999999</v>
      </c>
      <c r="Z7" s="70">
        <f t="shared" si="1"/>
        <v>999999</v>
      </c>
      <c r="AA7" s="70">
        <f t="shared" si="1"/>
        <v>999999</v>
      </c>
      <c r="AB7" s="70">
        <f t="shared" si="1"/>
        <v>999999</v>
      </c>
      <c r="AC7" s="70">
        <f t="shared" si="1"/>
        <v>999999</v>
      </c>
      <c r="AD7" s="70">
        <f t="shared" si="1"/>
        <v>999999</v>
      </c>
      <c r="AE7" s="70">
        <f t="shared" si="1"/>
        <v>999999</v>
      </c>
      <c r="AF7" s="70">
        <f t="shared" si="1"/>
        <v>999999</v>
      </c>
      <c r="AG7" s="74"/>
      <c r="AH7" s="74"/>
      <c r="AI7" s="74"/>
      <c r="AJ7" s="74"/>
      <c r="AK7" s="74"/>
      <c r="AL7" s="74"/>
      <c r="AM7" s="74"/>
      <c r="AN7" s="74"/>
      <c r="AO7" s="74"/>
      <c r="AP7" s="74"/>
      <c r="AQ7" s="74"/>
      <c r="AR7" s="74"/>
      <c r="AS7" s="74"/>
      <c r="AT7" s="74"/>
      <c r="AU7" s="74"/>
      <c r="AV7" s="74"/>
    </row>
    <row r="8" spans="1:48" s="74" customFormat="1" x14ac:dyDescent="0.35">
      <c r="A8" t="s">
        <v>566</v>
      </c>
      <c r="B8" s="70">
        <f>B2*Hydrogen!B2</f>
        <v>643898.94006857148</v>
      </c>
      <c r="C8" s="70">
        <f>C2*Hydrogen!C2</f>
        <v>577988.09694176109</v>
      </c>
      <c r="D8" s="70">
        <f>D2*Hydrogen!D2</f>
        <v>538097.35903775599</v>
      </c>
      <c r="E8" s="70">
        <f>E2*Hydrogen!E2</f>
        <v>510262.77982974617</v>
      </c>
      <c r="F8" s="70">
        <f>F2*Hydrogen!F2</f>
        <v>488931.54618956905</v>
      </c>
      <c r="G8" s="70">
        <f>G2*Hydrogen!G2</f>
        <v>472936.30945708952</v>
      </c>
      <c r="H8" s="70">
        <f>H2*Hydrogen!H2</f>
        <v>459561.57445309678</v>
      </c>
      <c r="I8" s="70">
        <f>I2*Hydrogen!I2</f>
        <v>448025.84756031522</v>
      </c>
      <c r="J8" s="70">
        <f>J2*Hydrogen!J2</f>
        <v>438132.22213625489</v>
      </c>
      <c r="K8" s="70">
        <f>K2*Hydrogen!K2</f>
        <v>429513.14941949619</v>
      </c>
      <c r="L8" s="70">
        <f>L2*Hydrogen!L2</f>
        <v>421910.68752187968</v>
      </c>
      <c r="M8" s="70">
        <f>M2*Hydrogen!M2</f>
        <v>415367.11560599494</v>
      </c>
      <c r="N8" s="70">
        <f>N2*Hydrogen!N2</f>
        <v>409046.66675947962</v>
      </c>
      <c r="O8" s="70">
        <f>O2*Hydrogen!O2</f>
        <v>403319.08438992</v>
      </c>
      <c r="P8" s="70">
        <f>P2*Hydrogen!P2</f>
        <v>398083.78217576368</v>
      </c>
      <c r="Q8" s="70">
        <f>Q2*Hydrogen!Q2</f>
        <v>393261.02586562652</v>
      </c>
      <c r="R8" s="70">
        <f>R2*Hydrogen!R2</f>
        <v>388745.30081914394</v>
      </c>
      <c r="S8" s="70">
        <f>S2*Hydrogen!S2</f>
        <v>384542.61498908343</v>
      </c>
      <c r="T8" s="70">
        <f>T2*Hydrogen!T2</f>
        <v>380596.04012600135</v>
      </c>
      <c r="U8" s="70">
        <f>U2*Hydrogen!U2</f>
        <v>376852.8566924326</v>
      </c>
      <c r="V8" s="70">
        <f>V2*Hydrogen!V2</f>
        <v>373274.53175593854</v>
      </c>
      <c r="W8" s="70">
        <f>W2*Hydrogen!W2</f>
        <v>369868.9681297912</v>
      </c>
      <c r="X8" s="70">
        <f>X2*Hydrogen!X2</f>
        <v>366606.02325649565</v>
      </c>
      <c r="Y8" s="70">
        <f>Y2*Hydrogen!Y2</f>
        <v>363465.28724174708</v>
      </c>
      <c r="Z8" s="70">
        <f>Z2*Hydrogen!Z2</f>
        <v>360430.11534985848</v>
      </c>
      <c r="AA8" s="70">
        <f>AA2*Hydrogen!AA2</f>
        <v>357486.35738102242</v>
      </c>
      <c r="AB8" s="70">
        <f>AB2*Hydrogen!AB2</f>
        <v>354624.04435116681</v>
      </c>
      <c r="AC8" s="70">
        <f>AC2*Hydrogen!AC2</f>
        <v>351831.28291588736</v>
      </c>
      <c r="AD8" s="70">
        <f>AD2*Hydrogen!AD2</f>
        <v>349099.50546853046</v>
      </c>
      <c r="AE8" s="70">
        <f>AE2*Hydrogen!AE2</f>
        <v>346421.85077868839</v>
      </c>
      <c r="AF8" s="70">
        <f>AF2*Hydrogen!AF2</f>
        <v>343792.35889117135</v>
      </c>
    </row>
    <row r="9" spans="1:48" s="74" customFormat="1" x14ac:dyDescent="0.35"/>
    <row r="10" spans="1:48" s="74" customFormat="1" x14ac:dyDescent="0.35"/>
    <row r="11" spans="1:48" s="74" customFormat="1" x14ac:dyDescent="0.35">
      <c r="A11" s="74" t="s">
        <v>1363</v>
      </c>
    </row>
    <row r="12" spans="1:48" x14ac:dyDescent="0.35">
      <c r="A12" t="s">
        <v>1354</v>
      </c>
    </row>
    <row r="15" spans="1:48" x14ac:dyDescent="0.35">
      <c r="A15" t="s">
        <v>1355</v>
      </c>
    </row>
    <row r="16" spans="1:48" s="74" customFormat="1" x14ac:dyDescent="0.35"/>
    <row r="17" spans="1:32" x14ac:dyDescent="0.35">
      <c r="B17" t="s">
        <v>1361</v>
      </c>
      <c r="C17" t="s">
        <v>1362</v>
      </c>
    </row>
    <row r="18" spans="1:32" x14ac:dyDescent="0.35">
      <c r="A18" t="s">
        <v>1356</v>
      </c>
      <c r="B18">
        <f>351*268</f>
        <v>94068</v>
      </c>
      <c r="C18">
        <f>B18*About!$A$167</f>
        <v>85978.152000000002</v>
      </c>
    </row>
    <row r="19" spans="1:32" x14ac:dyDescent="0.35">
      <c r="A19" t="s">
        <v>1359</v>
      </c>
      <c r="B19">
        <f>B18*1.36</f>
        <v>127932.48000000001</v>
      </c>
      <c r="C19" s="74">
        <f>B19*About!$A$167</f>
        <v>116930.28672000002</v>
      </c>
    </row>
    <row r="20" spans="1:32" x14ac:dyDescent="0.35">
      <c r="C20" s="74"/>
    </row>
    <row r="21" spans="1:32" x14ac:dyDescent="0.35">
      <c r="A21" t="s">
        <v>1357</v>
      </c>
      <c r="B21" s="98">
        <f>430000</f>
        <v>430000</v>
      </c>
      <c r="C21" s="74">
        <f>B21*About!$A$167</f>
        <v>393020</v>
      </c>
    </row>
    <row r="22" spans="1:32" x14ac:dyDescent="0.35">
      <c r="C22" s="74"/>
    </row>
    <row r="23" spans="1:32" s="74" customFormat="1" x14ac:dyDescent="0.35">
      <c r="A23" s="74" t="s">
        <v>1367</v>
      </c>
      <c r="B23" s="70">
        <f>B21-10000</f>
        <v>420000</v>
      </c>
      <c r="C23" s="74">
        <f>C21-10000</f>
        <v>383020</v>
      </c>
    </row>
    <row r="24" spans="1:32" s="74" customFormat="1" x14ac:dyDescent="0.35">
      <c r="A24" t="s">
        <v>1358</v>
      </c>
      <c r="B24" s="69">
        <f>B23+B19</f>
        <v>547932.48</v>
      </c>
      <c r="C24" s="74">
        <f>B24*About!$A$167</f>
        <v>500810.28671999997</v>
      </c>
    </row>
    <row r="25" spans="1:32" x14ac:dyDescent="0.35">
      <c r="A25" t="s">
        <v>1360</v>
      </c>
      <c r="B25" s="75">
        <f>B19/B24</f>
        <v>0.23348219839057546</v>
      </c>
      <c r="C25">
        <f>C19/C24</f>
        <v>0.23348219839057546</v>
      </c>
      <c r="D25" s="74"/>
    </row>
    <row r="27" spans="1:32" x14ac:dyDescent="0.35">
      <c r="A27" s="72" t="s">
        <v>1368</v>
      </c>
      <c r="B27" s="73"/>
      <c r="C27" s="73"/>
    </row>
    <row r="28" spans="1:32" x14ac:dyDescent="0.35">
      <c r="B28">
        <v>2020</v>
      </c>
      <c r="C28">
        <f>B28+1</f>
        <v>2021</v>
      </c>
      <c r="D28" s="74">
        <f t="shared" ref="D28:AF28" si="3">C28+1</f>
        <v>2022</v>
      </c>
      <c r="E28" s="74">
        <f t="shared" si="3"/>
        <v>2023</v>
      </c>
      <c r="F28" s="74">
        <f t="shared" si="3"/>
        <v>2024</v>
      </c>
      <c r="G28" s="74">
        <f t="shared" si="3"/>
        <v>2025</v>
      </c>
      <c r="H28" s="74">
        <f t="shared" si="3"/>
        <v>2026</v>
      </c>
      <c r="I28" s="74">
        <f t="shared" si="3"/>
        <v>2027</v>
      </c>
      <c r="J28" s="74">
        <f t="shared" si="3"/>
        <v>2028</v>
      </c>
      <c r="K28" s="74">
        <f t="shared" si="3"/>
        <v>2029</v>
      </c>
      <c r="L28" s="74">
        <f t="shared" si="3"/>
        <v>2030</v>
      </c>
      <c r="M28" s="74">
        <f t="shared" si="3"/>
        <v>2031</v>
      </c>
      <c r="N28" s="74">
        <f t="shared" si="3"/>
        <v>2032</v>
      </c>
      <c r="O28" s="74">
        <f t="shared" si="3"/>
        <v>2033</v>
      </c>
      <c r="P28" s="74">
        <f t="shared" si="3"/>
        <v>2034</v>
      </c>
      <c r="Q28" s="74">
        <f t="shared" si="3"/>
        <v>2035</v>
      </c>
      <c r="R28" s="74">
        <f t="shared" si="3"/>
        <v>2036</v>
      </c>
      <c r="S28" s="74">
        <f t="shared" si="3"/>
        <v>2037</v>
      </c>
      <c r="T28" s="74">
        <f t="shared" si="3"/>
        <v>2038</v>
      </c>
      <c r="U28" s="74">
        <f t="shared" si="3"/>
        <v>2039</v>
      </c>
      <c r="V28" s="74">
        <f t="shared" si="3"/>
        <v>2040</v>
      </c>
      <c r="W28" s="74">
        <f t="shared" si="3"/>
        <v>2041</v>
      </c>
      <c r="X28" s="74">
        <f t="shared" si="3"/>
        <v>2042</v>
      </c>
      <c r="Y28" s="74">
        <f t="shared" si="3"/>
        <v>2043</v>
      </c>
      <c r="Z28" s="74">
        <f t="shared" si="3"/>
        <v>2044</v>
      </c>
      <c r="AA28" s="74">
        <f t="shared" si="3"/>
        <v>2045</v>
      </c>
      <c r="AB28" s="74">
        <f t="shared" si="3"/>
        <v>2046</v>
      </c>
      <c r="AC28" s="74">
        <f t="shared" si="3"/>
        <v>2047</v>
      </c>
      <c r="AD28" s="74">
        <f t="shared" si="3"/>
        <v>2048</v>
      </c>
      <c r="AE28" s="74">
        <f t="shared" si="3"/>
        <v>2049</v>
      </c>
      <c r="AF28" s="74">
        <f t="shared" si="3"/>
        <v>2050</v>
      </c>
    </row>
    <row r="29" spans="1:32" x14ac:dyDescent="0.35">
      <c r="B29" s="70">
        <f>C19</f>
        <v>116930.28672000002</v>
      </c>
      <c r="C29" s="70">
        <f>$C$19*'HDV frt'!C84</f>
        <v>95002.466981685138</v>
      </c>
      <c r="D29" s="70">
        <f>$C$19*'HDV frt'!D84</f>
        <v>80749.015821377296</v>
      </c>
      <c r="E29" s="70">
        <f>$C$19*'HDV frt'!E84</f>
        <v>70504.987262411538</v>
      </c>
      <c r="F29" s="70">
        <f>$C$19*'HDV frt'!F84</f>
        <v>62475.852194496008</v>
      </c>
      <c r="G29" s="70">
        <f>$C$19*'HDV frt'!G84</f>
        <v>56532.870371952005</v>
      </c>
      <c r="H29" s="70">
        <f>$C$19*'HDV frt'!H84</f>
        <v>51494.928968620807</v>
      </c>
      <c r="I29" s="70">
        <f>$C$19*'HDV frt'!I84</f>
        <v>47088.177253004164</v>
      </c>
      <c r="J29" s="70">
        <f>$C$19*'HDV frt'!J84</f>
        <v>43299.752893562887</v>
      </c>
      <c r="K29" s="70">
        <f>$C$19*'HDV frt'!K84</f>
        <v>39994.835269708805</v>
      </c>
      <c r="L29" s="70">
        <f>$C$19*'HDV frt'!L84</f>
        <v>37078.24312805185</v>
      </c>
      <c r="M29" s="70">
        <f>$C$19*'HDV frt'!M84</f>
        <v>34494.785373260165</v>
      </c>
      <c r="N29" s="70">
        <f>$C$19*'HDV frt'!N84</f>
        <v>32231.716604081281</v>
      </c>
      <c r="O29" s="70">
        <f>$C$19*'HDV frt'!O84</f>
        <v>30275.122116395523</v>
      </c>
      <c r="P29" s="70">
        <f>$C$19*'HDV frt'!P84</f>
        <v>28573.552584046083</v>
      </c>
      <c r="Q29" s="70">
        <f>$C$19*'HDV frt'!Q84</f>
        <v>27086.199336967682</v>
      </c>
      <c r="R29" s="70">
        <f>$C$19*'HDV frt'!R84</f>
        <v>25756.701976961285</v>
      </c>
      <c r="S29" s="70">
        <f>$C$19*'HDV frt'!S84</f>
        <v>24591.140878936323</v>
      </c>
      <c r="T29" s="70">
        <f>$C$19*'HDV frt'!T84</f>
        <v>23559.581889492485</v>
      </c>
      <c r="U29" s="70">
        <f>$C$19*'HDV frt'!U84</f>
        <v>22633.844809530241</v>
      </c>
      <c r="V29" s="70">
        <f>$C$19*'HDV frt'!V84</f>
        <v>21793.349908586883</v>
      </c>
      <c r="W29" s="70">
        <f>$C$19*'HDV frt'!W84</f>
        <v>21044.177561571843</v>
      </c>
      <c r="X29" s="70">
        <f>$C$19*'HDV frt'!X84</f>
        <v>20370.191388917763</v>
      </c>
      <c r="Y29" s="70">
        <f>$C$19*'HDV frt'!Y84</f>
        <v>19760.633804246405</v>
      </c>
      <c r="Z29" s="70">
        <f>$C$19*'HDV frt'!Z84</f>
        <v>19206.73503605376</v>
      </c>
      <c r="AA29" s="70">
        <f>$C$19*'HDV frt'!AA84</f>
        <v>18701.011545989761</v>
      </c>
      <c r="AB29" s="70">
        <f>$C$19*'HDV frt'!AB84</f>
        <v>18238.318401438723</v>
      </c>
      <c r="AC29" s="70">
        <f>$C$19*'HDV frt'!AC84</f>
        <v>17812.224436631041</v>
      </c>
      <c r="AD29" s="70">
        <f>$C$19*'HDV frt'!AD84</f>
        <v>17418.169370384643</v>
      </c>
      <c r="AE29" s="70">
        <f>$C$19*'HDV frt'!AE84</f>
        <v>17052.528363811201</v>
      </c>
      <c r="AF29" s="70">
        <f>$C$19*'HDV frt'!AF84</f>
        <v>16712.144299169282</v>
      </c>
    </row>
    <row r="30" spans="1:32" x14ac:dyDescent="0.35">
      <c r="A30" s="199" t="s">
        <v>1369</v>
      </c>
      <c r="B30" s="75">
        <f>C19/B2</f>
        <v>0.23348219839057546</v>
      </c>
      <c r="C30" s="75">
        <f>C29/C2</f>
        <v>0.204038085392823</v>
      </c>
      <c r="D30" s="75">
        <f t="shared" ref="D30:AF30" si="4">D29/D2</f>
        <v>0.18238819135880077</v>
      </c>
      <c r="E30" s="75">
        <f t="shared" si="4"/>
        <v>0.16539295051873382</v>
      </c>
      <c r="F30" s="75">
        <f t="shared" si="4"/>
        <v>0.15112715046913303</v>
      </c>
      <c r="G30" s="75">
        <f t="shared" si="4"/>
        <v>0.13998152849314624</v>
      </c>
      <c r="H30" s="75">
        <f t="shared" si="4"/>
        <v>0.13011243939191849</v>
      </c>
      <c r="I30" s="75">
        <f t="shared" si="4"/>
        <v>0.12114311555073128</v>
      </c>
      <c r="J30" s="75">
        <f t="shared" si="4"/>
        <v>0.11316720012369265</v>
      </c>
      <c r="K30" s="75">
        <f t="shared" si="4"/>
        <v>0.10599925610497601</v>
      </c>
      <c r="L30" s="75">
        <f t="shared" si="4"/>
        <v>9.9504005254286293E-2</v>
      </c>
      <c r="M30" s="75">
        <f t="shared" si="4"/>
        <v>9.3612795910448535E-2</v>
      </c>
      <c r="N30" s="75">
        <f t="shared" si="4"/>
        <v>8.8342148669738288E-2</v>
      </c>
      <c r="O30" s="75">
        <f t="shared" si="4"/>
        <v>8.3699941619350099E-2</v>
      </c>
      <c r="P30" s="75">
        <f t="shared" si="4"/>
        <v>7.9596766567212124E-2</v>
      </c>
      <c r="Q30" s="75">
        <f t="shared" si="4"/>
        <v>7.5958667775068142E-2</v>
      </c>
      <c r="R30" s="75">
        <f t="shared" si="4"/>
        <v>7.2665203935349795E-2</v>
      </c>
      <c r="S30" s="75">
        <f t="shared" si="4"/>
        <v>6.9745048957003619E-2</v>
      </c>
      <c r="T30" s="75">
        <f t="shared" si="4"/>
        <v>6.7134644536674476E-2</v>
      </c>
      <c r="U30" s="75">
        <f t="shared" si="4"/>
        <v>6.4770964367726752E-2</v>
      </c>
      <c r="V30" s="75">
        <f t="shared" si="4"/>
        <v>6.2607453563828713E-2</v>
      </c>
      <c r="W30" s="75">
        <f t="shared" si="4"/>
        <v>6.0664829699345828E-2</v>
      </c>
      <c r="X30" s="75">
        <f t="shared" si="4"/>
        <v>5.8905620272680898E-2</v>
      </c>
      <c r="Y30" s="75">
        <f t="shared" si="4"/>
        <v>5.7305073124077191E-2</v>
      </c>
      <c r="Z30" s="75">
        <f t="shared" si="4"/>
        <v>5.584277489697699E-2</v>
      </c>
      <c r="AA30" s="75">
        <f t="shared" si="4"/>
        <v>5.450104164199867E-2</v>
      </c>
      <c r="AB30" s="75">
        <f t="shared" si="4"/>
        <v>5.3267898624701167E-2</v>
      </c>
      <c r="AC30" s="75">
        <f t="shared" si="4"/>
        <v>5.2127556235103192E-2</v>
      </c>
      <c r="AD30" s="75">
        <f t="shared" si="4"/>
        <v>5.1068887905554528E-2</v>
      </c>
      <c r="AE30" s="75">
        <f t="shared" si="4"/>
        <v>5.0083038489751333E-2</v>
      </c>
      <c r="AF30" s="75">
        <f t="shared" si="4"/>
        <v>4.916222771299663E-2</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B09ABD-2063-4EF4-817A-FA81599822D5}">
  <sheetPr>
    <tabColor theme="0" tint="-0.14999847407452621"/>
  </sheetPr>
  <dimension ref="A1:AP24"/>
  <sheetViews>
    <sheetView workbookViewId="0">
      <selection activeCell="A3" sqref="A3"/>
    </sheetView>
  </sheetViews>
  <sheetFormatPr defaultRowHeight="14.5" x14ac:dyDescent="0.35"/>
  <cols>
    <col min="1" max="1" width="15.36328125" customWidth="1"/>
  </cols>
  <sheetData>
    <row r="1" spans="1:42" x14ac:dyDescent="0.35">
      <c r="B1">
        <f>B11</f>
        <v>2020</v>
      </c>
      <c r="C1" s="74">
        <f t="shared" ref="C1:M1" si="0">C11</f>
        <v>2021</v>
      </c>
      <c r="D1" s="74">
        <f t="shared" si="0"/>
        <v>2022</v>
      </c>
      <c r="E1" s="74">
        <f t="shared" si="0"/>
        <v>2023</v>
      </c>
      <c r="F1" s="74">
        <f t="shared" si="0"/>
        <v>2024</v>
      </c>
      <c r="G1" s="74">
        <f t="shared" si="0"/>
        <v>2025</v>
      </c>
      <c r="H1" s="74">
        <f t="shared" si="0"/>
        <v>2026</v>
      </c>
      <c r="I1" s="74">
        <f t="shared" si="0"/>
        <v>2027</v>
      </c>
      <c r="J1" s="74">
        <f t="shared" si="0"/>
        <v>2028</v>
      </c>
      <c r="K1" s="74">
        <f t="shared" si="0"/>
        <v>2029</v>
      </c>
      <c r="L1" s="74">
        <f t="shared" si="0"/>
        <v>2030</v>
      </c>
      <c r="M1" s="74">
        <f t="shared" si="0"/>
        <v>2031</v>
      </c>
      <c r="N1" s="74">
        <f t="shared" ref="N1:AF1" si="1">N11</f>
        <v>2032</v>
      </c>
      <c r="O1" s="74">
        <f t="shared" si="1"/>
        <v>2033</v>
      </c>
      <c r="P1" s="74">
        <f t="shared" si="1"/>
        <v>2034</v>
      </c>
      <c r="Q1" s="74">
        <f t="shared" si="1"/>
        <v>2035</v>
      </c>
      <c r="R1" s="74">
        <f t="shared" si="1"/>
        <v>2036</v>
      </c>
      <c r="S1" s="74">
        <f t="shared" si="1"/>
        <v>2037</v>
      </c>
      <c r="T1" s="74">
        <f t="shared" si="1"/>
        <v>2038</v>
      </c>
      <c r="U1" s="74">
        <f t="shared" si="1"/>
        <v>2039</v>
      </c>
      <c r="V1" s="74">
        <f t="shared" si="1"/>
        <v>2040</v>
      </c>
      <c r="W1" s="74">
        <f t="shared" si="1"/>
        <v>2041</v>
      </c>
      <c r="X1" s="74">
        <f t="shared" si="1"/>
        <v>2042</v>
      </c>
      <c r="Y1" s="74">
        <f t="shared" si="1"/>
        <v>2043</v>
      </c>
      <c r="Z1" s="74">
        <f t="shared" si="1"/>
        <v>2044</v>
      </c>
      <c r="AA1" s="74">
        <f t="shared" si="1"/>
        <v>2045</v>
      </c>
      <c r="AB1" s="74">
        <f t="shared" si="1"/>
        <v>2046</v>
      </c>
      <c r="AC1" s="74">
        <f t="shared" si="1"/>
        <v>2047</v>
      </c>
      <c r="AD1" s="74">
        <f t="shared" si="1"/>
        <v>2048</v>
      </c>
      <c r="AE1" s="74">
        <f t="shared" si="1"/>
        <v>2049</v>
      </c>
      <c r="AF1" s="74">
        <f t="shared" si="1"/>
        <v>2050</v>
      </c>
    </row>
    <row r="2" spans="1:42" x14ac:dyDescent="0.35">
      <c r="A2" t="s">
        <v>1338</v>
      </c>
      <c r="B2">
        <f>B12</f>
        <v>1.2857142857142858</v>
      </c>
      <c r="C2" s="74">
        <f t="shared" ref="C2:L2" si="2">C12</f>
        <v>1.2413528661584494</v>
      </c>
      <c r="D2" s="74">
        <f t="shared" si="2"/>
        <v>1.2154030992395268</v>
      </c>
      <c r="E2" s="74">
        <f t="shared" si="2"/>
        <v>1.1969914466026128</v>
      </c>
      <c r="F2" s="74">
        <f t="shared" si="2"/>
        <v>1.1827102593185035</v>
      </c>
      <c r="G2" s="74">
        <f t="shared" si="2"/>
        <v>1.1710416796836902</v>
      </c>
      <c r="H2" s="74">
        <f t="shared" si="2"/>
        <v>1.1611760361747459</v>
      </c>
      <c r="I2" s="74">
        <f t="shared" si="2"/>
        <v>1.1526300270467762</v>
      </c>
      <c r="J2" s="74">
        <f t="shared" si="2"/>
        <v>1.1450919127647678</v>
      </c>
      <c r="K2" s="74">
        <f t="shared" si="2"/>
        <v>1.1383488397626669</v>
      </c>
      <c r="L2" s="74">
        <f t="shared" si="2"/>
        <v>1.13224898825519</v>
      </c>
      <c r="M2">
        <f>M17</f>
        <v>1.1272334818258565</v>
      </c>
      <c r="N2" s="74">
        <f t="shared" ref="N2:AF2" si="3">N17</f>
        <v>1.1211336303183796</v>
      </c>
      <c r="O2" s="74">
        <f t="shared" si="3"/>
        <v>1.1150337788109028</v>
      </c>
      <c r="P2" s="74">
        <f t="shared" si="3"/>
        <v>1.108933927303426</v>
      </c>
      <c r="Q2" s="74">
        <f t="shared" si="3"/>
        <v>1.1028340757959492</v>
      </c>
      <c r="R2" s="74">
        <f t="shared" si="3"/>
        <v>1.0967342242884723</v>
      </c>
      <c r="S2" s="74">
        <f t="shared" si="3"/>
        <v>1.0906343727809955</v>
      </c>
      <c r="T2" s="74">
        <f t="shared" si="3"/>
        <v>1.0845345212735187</v>
      </c>
      <c r="U2" s="74">
        <f t="shared" si="3"/>
        <v>1.0784346697660419</v>
      </c>
      <c r="V2" s="74">
        <f t="shared" si="3"/>
        <v>1.072334818258565</v>
      </c>
      <c r="W2" s="74">
        <f t="shared" si="3"/>
        <v>1.0662349667510882</v>
      </c>
      <c r="X2" s="74">
        <f t="shared" si="3"/>
        <v>1.0601351152436114</v>
      </c>
      <c r="Y2" s="74">
        <f t="shared" si="3"/>
        <v>1.0540352637361345</v>
      </c>
      <c r="Z2" s="74">
        <f t="shared" si="3"/>
        <v>1.0479354122286577</v>
      </c>
      <c r="AA2" s="74">
        <f t="shared" si="3"/>
        <v>1.0418355607211809</v>
      </c>
      <c r="AB2" s="74">
        <f t="shared" si="3"/>
        <v>1.0357357092137041</v>
      </c>
      <c r="AC2" s="74">
        <f t="shared" si="3"/>
        <v>1.0296358577062272</v>
      </c>
      <c r="AD2" s="74">
        <f t="shared" si="3"/>
        <v>1.0235360061987504</v>
      </c>
      <c r="AE2" s="74">
        <f t="shared" si="3"/>
        <v>1.0174361546912736</v>
      </c>
      <c r="AF2" s="74">
        <f t="shared" si="3"/>
        <v>1.0113363031837967</v>
      </c>
    </row>
    <row r="5" spans="1:42" s="74" customFormat="1" x14ac:dyDescent="0.35"/>
    <row r="6" spans="1:42" s="74" customFormat="1" x14ac:dyDescent="0.35">
      <c r="A6"/>
      <c r="B6">
        <v>2020</v>
      </c>
      <c r="C6">
        <v>2025</v>
      </c>
      <c r="D6">
        <v>2030</v>
      </c>
      <c r="E6"/>
      <c r="F6" t="s">
        <v>1293</v>
      </c>
    </row>
    <row r="7" spans="1:42" s="74" customFormat="1" x14ac:dyDescent="0.35">
      <c r="A7" t="s">
        <v>719</v>
      </c>
      <c r="B7">
        <v>2.8</v>
      </c>
      <c r="C7">
        <v>1.9</v>
      </c>
      <c r="D7">
        <v>1.5</v>
      </c>
      <c r="E7"/>
      <c r="F7"/>
    </row>
    <row r="8" spans="1:42" s="74" customFormat="1" x14ac:dyDescent="0.35">
      <c r="A8" t="s">
        <v>739</v>
      </c>
      <c r="B8">
        <v>3.6</v>
      </c>
      <c r="C8">
        <v>2.5</v>
      </c>
      <c r="D8">
        <v>1.7</v>
      </c>
      <c r="E8"/>
      <c r="F8"/>
    </row>
    <row r="9" spans="1:42" x14ac:dyDescent="0.35">
      <c r="A9" t="s">
        <v>1294</v>
      </c>
      <c r="B9">
        <f>B8/B7</f>
        <v>1.2857142857142858</v>
      </c>
      <c r="C9" s="74">
        <f t="shared" ref="C9:D9" si="4">C8/C7</f>
        <v>1.3157894736842106</v>
      </c>
      <c r="D9" s="74">
        <f t="shared" si="4"/>
        <v>1.1333333333333333</v>
      </c>
    </row>
    <row r="11" spans="1:42" x14ac:dyDescent="0.35">
      <c r="B11">
        <f>B6</f>
        <v>2020</v>
      </c>
      <c r="C11">
        <f>B11+1</f>
        <v>2021</v>
      </c>
      <c r="D11" s="74">
        <f t="shared" ref="D11:M11" si="5">C11+1</f>
        <v>2022</v>
      </c>
      <c r="E11" s="74">
        <f t="shared" si="5"/>
        <v>2023</v>
      </c>
      <c r="F11" s="74">
        <f t="shared" si="5"/>
        <v>2024</v>
      </c>
      <c r="G11" s="74">
        <f t="shared" si="5"/>
        <v>2025</v>
      </c>
      <c r="H11" s="74">
        <f t="shared" si="5"/>
        <v>2026</v>
      </c>
      <c r="I11" s="74">
        <f t="shared" si="5"/>
        <v>2027</v>
      </c>
      <c r="J11" s="74">
        <f t="shared" si="5"/>
        <v>2028</v>
      </c>
      <c r="K11" s="74">
        <f t="shared" si="5"/>
        <v>2029</v>
      </c>
      <c r="L11" s="74">
        <f t="shared" si="5"/>
        <v>2030</v>
      </c>
      <c r="M11" s="74">
        <f t="shared" si="5"/>
        <v>2031</v>
      </c>
      <c r="N11" s="74">
        <f t="shared" ref="N11:AF11" si="6">M11+1</f>
        <v>2032</v>
      </c>
      <c r="O11" s="74">
        <f t="shared" si="6"/>
        <v>2033</v>
      </c>
      <c r="P11" s="74">
        <f t="shared" si="6"/>
        <v>2034</v>
      </c>
      <c r="Q11" s="74">
        <f t="shared" si="6"/>
        <v>2035</v>
      </c>
      <c r="R11" s="74">
        <f t="shared" si="6"/>
        <v>2036</v>
      </c>
      <c r="S11" s="74">
        <f t="shared" si="6"/>
        <v>2037</v>
      </c>
      <c r="T11" s="74">
        <f t="shared" si="6"/>
        <v>2038</v>
      </c>
      <c r="U11" s="74">
        <f t="shared" si="6"/>
        <v>2039</v>
      </c>
      <c r="V11" s="74">
        <f t="shared" si="6"/>
        <v>2040</v>
      </c>
      <c r="W11" s="74">
        <f t="shared" si="6"/>
        <v>2041</v>
      </c>
      <c r="X11" s="74">
        <f t="shared" si="6"/>
        <v>2042</v>
      </c>
      <c r="Y11" s="74">
        <f t="shared" si="6"/>
        <v>2043</v>
      </c>
      <c r="Z11" s="74">
        <f t="shared" si="6"/>
        <v>2044</v>
      </c>
      <c r="AA11" s="74">
        <f t="shared" si="6"/>
        <v>2045</v>
      </c>
      <c r="AB11" s="74">
        <f t="shared" si="6"/>
        <v>2046</v>
      </c>
      <c r="AC11" s="74">
        <f t="shared" si="6"/>
        <v>2047</v>
      </c>
      <c r="AD11" s="74">
        <f t="shared" si="6"/>
        <v>2048</v>
      </c>
      <c r="AE11" s="74">
        <f t="shared" si="6"/>
        <v>2049</v>
      </c>
      <c r="AF11" s="74">
        <f t="shared" si="6"/>
        <v>2050</v>
      </c>
      <c r="AG11" s="74"/>
      <c r="AH11" s="74"/>
      <c r="AI11" s="74"/>
      <c r="AJ11" s="74"/>
      <c r="AK11" s="74"/>
      <c r="AL11" s="74"/>
      <c r="AM11" s="74"/>
      <c r="AN11" s="74"/>
      <c r="AO11" s="74"/>
      <c r="AP11" s="74"/>
    </row>
    <row r="12" spans="1:42" s="74" customFormat="1" x14ac:dyDescent="0.35">
      <c r="B12" s="74">
        <f>B14</f>
        <v>1.2857142857142858</v>
      </c>
      <c r="C12" s="74">
        <f>B12+C15</f>
        <v>1.2413528661584494</v>
      </c>
      <c r="D12" s="74">
        <f>$B$12+D15</f>
        <v>1.2154030992395268</v>
      </c>
      <c r="E12" s="74">
        <f t="shared" ref="E12:L12" si="7">$B$12+E15</f>
        <v>1.1969914466026128</v>
      </c>
      <c r="F12" s="74">
        <f t="shared" si="7"/>
        <v>1.1827102593185035</v>
      </c>
      <c r="G12" s="74">
        <f t="shared" si="7"/>
        <v>1.1710416796836902</v>
      </c>
      <c r="H12" s="74">
        <f t="shared" si="7"/>
        <v>1.1611760361747459</v>
      </c>
      <c r="I12" s="74">
        <f t="shared" si="7"/>
        <v>1.1526300270467762</v>
      </c>
      <c r="J12" s="74">
        <f t="shared" si="7"/>
        <v>1.1450919127647678</v>
      </c>
      <c r="K12" s="74">
        <f t="shared" si="7"/>
        <v>1.1383488397626669</v>
      </c>
      <c r="L12" s="74">
        <f t="shared" si="7"/>
        <v>1.13224898825519</v>
      </c>
    </row>
    <row r="13" spans="1:42" x14ac:dyDescent="0.35">
      <c r="A13" t="s">
        <v>1295</v>
      </c>
      <c r="B13">
        <v>1</v>
      </c>
      <c r="C13">
        <f>B13+1</f>
        <v>2</v>
      </c>
      <c r="D13" s="74">
        <f t="shared" ref="D13:L13" si="8">C13+1</f>
        <v>3</v>
      </c>
      <c r="E13" s="74">
        <f t="shared" si="8"/>
        <v>4</v>
      </c>
      <c r="F13" s="74">
        <f t="shared" si="8"/>
        <v>5</v>
      </c>
      <c r="G13" s="74">
        <f t="shared" si="8"/>
        <v>6</v>
      </c>
      <c r="H13" s="74">
        <f t="shared" si="8"/>
        <v>7</v>
      </c>
      <c r="I13" s="74">
        <f t="shared" si="8"/>
        <v>8</v>
      </c>
      <c r="J13" s="74">
        <f t="shared" si="8"/>
        <v>9</v>
      </c>
      <c r="K13" s="74">
        <f t="shared" si="8"/>
        <v>10</v>
      </c>
      <c r="L13" s="74">
        <f t="shared" si="8"/>
        <v>11</v>
      </c>
      <c r="N13" s="74"/>
      <c r="O13" s="74"/>
      <c r="P13" s="74"/>
      <c r="Q13" s="74"/>
      <c r="R13" s="74"/>
      <c r="S13" s="74"/>
      <c r="T13" s="74"/>
      <c r="U13" s="74"/>
      <c r="V13" s="74"/>
      <c r="W13" s="74"/>
      <c r="X13" s="74"/>
      <c r="Y13" s="74"/>
      <c r="Z13" s="74"/>
      <c r="AA13" s="74"/>
      <c r="AB13" s="74"/>
      <c r="AC13" s="74"/>
      <c r="AD13" s="74"/>
      <c r="AE13" s="74"/>
      <c r="AF13" s="74"/>
      <c r="AG13" s="74"/>
      <c r="AH13" s="74"/>
      <c r="AI13" s="74"/>
      <c r="AJ13" s="74"/>
      <c r="AK13" s="74"/>
      <c r="AL13" s="74"/>
      <c r="AM13" s="74"/>
      <c r="AN13" s="74"/>
      <c r="AO13" s="74"/>
      <c r="AP13" s="74"/>
    </row>
    <row r="14" spans="1:42" x14ac:dyDescent="0.35">
      <c r="A14" t="s">
        <v>1294</v>
      </c>
      <c r="B14">
        <f>B9</f>
        <v>1.2857142857142858</v>
      </c>
      <c r="G14">
        <f>C9</f>
        <v>1.3157894736842106</v>
      </c>
      <c r="L14">
        <f>D9</f>
        <v>1.1333333333333333</v>
      </c>
      <c r="AG14" s="74"/>
      <c r="AH14" s="74"/>
      <c r="AI14" s="74"/>
      <c r="AJ14" s="74"/>
      <c r="AK14" s="74"/>
      <c r="AL14" s="74"/>
      <c r="AM14" s="74"/>
      <c r="AN14" s="74"/>
      <c r="AO14" s="74"/>
      <c r="AP14" s="74"/>
    </row>
    <row r="15" spans="1:42" s="74" customFormat="1" x14ac:dyDescent="0.35">
      <c r="A15" s="74" t="s">
        <v>1300</v>
      </c>
      <c r="B15" s="74">
        <f>LN(B13)*$B$23</f>
        <v>0</v>
      </c>
      <c r="C15" s="74">
        <f t="shared" ref="C15:L15" si="9">LN(C13)*$B$23</f>
        <v>-4.4361419555836501E-2</v>
      </c>
      <c r="D15" s="74">
        <f t="shared" si="9"/>
        <v>-7.0311186474759022E-2</v>
      </c>
      <c r="E15" s="74">
        <f t="shared" si="9"/>
        <v>-8.8722839111673002E-2</v>
      </c>
      <c r="F15" s="74">
        <f t="shared" si="9"/>
        <v>-0.10300402639578242</v>
      </c>
      <c r="G15" s="74">
        <f t="shared" si="9"/>
        <v>-0.11467260603059552</v>
      </c>
      <c r="H15" s="74">
        <f t="shared" si="9"/>
        <v>-0.12453824953954006</v>
      </c>
      <c r="I15" s="74">
        <f t="shared" si="9"/>
        <v>-0.1330842586675095</v>
      </c>
      <c r="J15" s="74">
        <f t="shared" si="9"/>
        <v>-0.14062237294951804</v>
      </c>
      <c r="K15" s="74">
        <f t="shared" si="9"/>
        <v>-0.14736544595161893</v>
      </c>
      <c r="L15" s="74">
        <f t="shared" si="9"/>
        <v>-0.15346529745909573</v>
      </c>
    </row>
    <row r="16" spans="1:42" x14ac:dyDescent="0.35">
      <c r="G16" s="74"/>
      <c r="L16">
        <f>L15-K15</f>
        <v>-6.0998515074768E-3</v>
      </c>
      <c r="M16" t="s">
        <v>1301</v>
      </c>
    </row>
    <row r="17" spans="1:32" x14ac:dyDescent="0.35">
      <c r="L17" t="s">
        <v>1302</v>
      </c>
      <c r="M17">
        <f>L14+$L$16</f>
        <v>1.1272334818258565</v>
      </c>
      <c r="N17" s="74">
        <f t="shared" ref="N17:AF17" si="10">M17+$L$16</f>
        <v>1.1211336303183796</v>
      </c>
      <c r="O17" s="74">
        <f t="shared" si="10"/>
        <v>1.1150337788109028</v>
      </c>
      <c r="P17" s="74">
        <f t="shared" si="10"/>
        <v>1.108933927303426</v>
      </c>
      <c r="Q17" s="74">
        <f t="shared" si="10"/>
        <v>1.1028340757959492</v>
      </c>
      <c r="R17" s="74">
        <f t="shared" si="10"/>
        <v>1.0967342242884723</v>
      </c>
      <c r="S17" s="74">
        <f t="shared" si="10"/>
        <v>1.0906343727809955</v>
      </c>
      <c r="T17" s="74">
        <f t="shared" si="10"/>
        <v>1.0845345212735187</v>
      </c>
      <c r="U17" s="74">
        <f t="shared" si="10"/>
        <v>1.0784346697660419</v>
      </c>
      <c r="V17" s="74">
        <f t="shared" si="10"/>
        <v>1.072334818258565</v>
      </c>
      <c r="W17" s="74">
        <f t="shared" si="10"/>
        <v>1.0662349667510882</v>
      </c>
      <c r="X17" s="74">
        <f t="shared" si="10"/>
        <v>1.0601351152436114</v>
      </c>
      <c r="Y17" s="74">
        <f t="shared" si="10"/>
        <v>1.0540352637361345</v>
      </c>
      <c r="Z17" s="74">
        <f t="shared" si="10"/>
        <v>1.0479354122286577</v>
      </c>
      <c r="AA17" s="74">
        <f t="shared" si="10"/>
        <v>1.0418355607211809</v>
      </c>
      <c r="AB17" s="74">
        <f t="shared" si="10"/>
        <v>1.0357357092137041</v>
      </c>
      <c r="AC17" s="74">
        <f t="shared" si="10"/>
        <v>1.0296358577062272</v>
      </c>
      <c r="AD17" s="74">
        <f t="shared" si="10"/>
        <v>1.0235360061987504</v>
      </c>
      <c r="AE17" s="74">
        <f t="shared" si="10"/>
        <v>1.0174361546912736</v>
      </c>
      <c r="AF17" s="74">
        <f t="shared" si="10"/>
        <v>1.0113363031837967</v>
      </c>
    </row>
    <row r="18" spans="1:32" x14ac:dyDescent="0.35">
      <c r="A18" s="1" t="s">
        <v>1296</v>
      </c>
    </row>
    <row r="19" spans="1:32" x14ac:dyDescent="0.35">
      <c r="A19" s="74" t="s">
        <v>1297</v>
      </c>
      <c r="B19" s="74"/>
      <c r="C19" s="74"/>
    </row>
    <row r="20" spans="1:32" x14ac:dyDescent="0.35">
      <c r="A20" s="74" t="s">
        <v>1295</v>
      </c>
      <c r="B20" s="74">
        <f>B13</f>
        <v>1</v>
      </c>
      <c r="C20" s="74">
        <f>L13</f>
        <v>11</v>
      </c>
    </row>
    <row r="21" spans="1:32" x14ac:dyDescent="0.35">
      <c r="A21" s="74" t="str">
        <f>A9</f>
        <v>ratio</v>
      </c>
      <c r="B21" s="74">
        <f>B9</f>
        <v>1.2857142857142858</v>
      </c>
      <c r="C21" s="74">
        <f>D9</f>
        <v>1.1333333333333333</v>
      </c>
    </row>
    <row r="23" spans="1:32" x14ac:dyDescent="0.35">
      <c r="A23" t="s">
        <v>1298</v>
      </c>
      <c r="B23">
        <v>-6.4000000000000001E-2</v>
      </c>
    </row>
    <row r="24" spans="1:32" x14ac:dyDescent="0.35">
      <c r="A24" t="s">
        <v>1299</v>
      </c>
      <c r="B24">
        <v>1.2857000000000001</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3B9055-C421-42F0-A001-8555929EA2BA}">
  <sheetPr codeName="Sheet21">
    <tabColor theme="0" tint="-0.14999847407452621"/>
  </sheetPr>
  <dimension ref="A1:M68"/>
  <sheetViews>
    <sheetView topLeftCell="A21" zoomScale="80" zoomScaleNormal="80" workbookViewId="0">
      <selection activeCell="D40" sqref="D40"/>
    </sheetView>
  </sheetViews>
  <sheetFormatPr defaultRowHeight="14.5" x14ac:dyDescent="0.35"/>
  <cols>
    <col min="1" max="1" width="30.26953125" customWidth="1"/>
    <col min="2" max="2" width="16.54296875" customWidth="1"/>
    <col min="3" max="3" width="20" customWidth="1"/>
    <col min="4" max="5" width="16.54296875" customWidth="1"/>
    <col min="6" max="6" width="25.6328125" customWidth="1"/>
    <col min="7" max="11" width="16" customWidth="1"/>
    <col min="12" max="12" width="13.36328125" customWidth="1"/>
    <col min="13" max="13" width="11.36328125" bestFit="1" customWidth="1"/>
    <col min="15" max="15" width="11.7265625" customWidth="1"/>
  </cols>
  <sheetData>
    <row r="1" spans="1:1" x14ac:dyDescent="0.35">
      <c r="A1" t="s">
        <v>721</v>
      </c>
    </row>
    <row r="2" spans="1:1" x14ac:dyDescent="0.35">
      <c r="A2" s="49" t="s">
        <v>723</v>
      </c>
    </row>
    <row r="3" spans="1:1" x14ac:dyDescent="0.35">
      <c r="A3" s="13" t="s">
        <v>722</v>
      </c>
    </row>
    <row r="5" spans="1:1" x14ac:dyDescent="0.35">
      <c r="A5" s="61" t="s">
        <v>740</v>
      </c>
    </row>
    <row r="6" spans="1:1" x14ac:dyDescent="0.35">
      <c r="A6" s="62" t="s">
        <v>746</v>
      </c>
    </row>
    <row r="7" spans="1:1" x14ac:dyDescent="0.35">
      <c r="A7" s="175"/>
    </row>
    <row r="16" spans="1:1" s="74" customFormat="1" x14ac:dyDescent="0.35">
      <c r="A16" s="74" t="s">
        <v>864</v>
      </c>
    </row>
    <row r="17" spans="1:13" x14ac:dyDescent="0.35">
      <c r="A17" s="5"/>
      <c r="B17" s="143" t="s">
        <v>726</v>
      </c>
      <c r="C17" s="143" t="s">
        <v>727</v>
      </c>
      <c r="D17" s="143" t="s">
        <v>728</v>
      </c>
    </row>
    <row r="18" spans="1:13" x14ac:dyDescent="0.35">
      <c r="A18" s="99" t="s">
        <v>724</v>
      </c>
      <c r="B18" s="166">
        <v>524</v>
      </c>
      <c r="C18" s="166">
        <v>963</v>
      </c>
      <c r="D18" s="166">
        <v>1364</v>
      </c>
    </row>
    <row r="19" spans="1:13" x14ac:dyDescent="0.35">
      <c r="A19" s="99" t="s">
        <v>744</v>
      </c>
      <c r="B19" s="166">
        <v>1110</v>
      </c>
      <c r="C19" s="166">
        <v>2022</v>
      </c>
      <c r="D19" s="166">
        <v>2662</v>
      </c>
    </row>
    <row r="20" spans="1:13" s="74" customFormat="1" x14ac:dyDescent="0.35">
      <c r="A20" s="99"/>
      <c r="B20" s="166"/>
      <c r="C20" s="166"/>
      <c r="D20" s="166"/>
    </row>
    <row r="21" spans="1:13" s="74" customFormat="1" x14ac:dyDescent="0.35">
      <c r="A21" s="99" t="s">
        <v>725</v>
      </c>
      <c r="B21" s="166">
        <f>6484</f>
        <v>6484</v>
      </c>
      <c r="C21" s="166">
        <f>10101</f>
        <v>10101</v>
      </c>
      <c r="D21" s="166">
        <f>12442</f>
        <v>12442</v>
      </c>
    </row>
    <row r="22" spans="1:13" x14ac:dyDescent="0.35">
      <c r="A22" s="99"/>
      <c r="B22" s="166"/>
      <c r="C22" s="166"/>
      <c r="D22" s="166"/>
      <c r="E22" s="74"/>
    </row>
    <row r="23" spans="1:13" x14ac:dyDescent="0.35">
      <c r="A23" s="99" t="s">
        <v>745</v>
      </c>
      <c r="B23" s="167">
        <f>(B18*$B$53+B19*(1-B53))</f>
        <v>655.12846958956652</v>
      </c>
      <c r="C23" s="167">
        <f>(C18*$B$53+C19*(1-B53))</f>
        <v>1199.9710738828512</v>
      </c>
      <c r="D23" s="167">
        <f>(D18*$B$53+D19*(1-B53))</f>
        <v>1654.4517978280842</v>
      </c>
    </row>
    <row r="24" spans="1:13" x14ac:dyDescent="0.35">
      <c r="A24" s="99"/>
      <c r="B24" s="167"/>
      <c r="C24" s="167"/>
      <c r="D24" s="167"/>
    </row>
    <row r="27" spans="1:13" x14ac:dyDescent="0.35">
      <c r="A27" s="1" t="s">
        <v>731</v>
      </c>
    </row>
    <row r="30" spans="1:13" x14ac:dyDescent="0.35">
      <c r="C30" s="52" t="s">
        <v>737</v>
      </c>
      <c r="D30" s="52" t="s">
        <v>738</v>
      </c>
      <c r="E30" t="s">
        <v>1314</v>
      </c>
      <c r="F30" s="172"/>
      <c r="G30" s="168"/>
      <c r="H30" s="168"/>
      <c r="I30" s="168"/>
      <c r="J30" s="173"/>
      <c r="K30" s="173"/>
      <c r="L30" s="5"/>
      <c r="M30" s="5"/>
    </row>
    <row r="31" spans="1:13" x14ac:dyDescent="0.35">
      <c r="C31" s="52" t="s">
        <v>732</v>
      </c>
      <c r="D31" s="53">
        <v>45000</v>
      </c>
      <c r="E31">
        <f>D31/D32</f>
        <v>0.9</v>
      </c>
      <c r="F31" s="99"/>
      <c r="G31" s="99"/>
      <c r="H31" s="99"/>
      <c r="I31" s="99"/>
      <c r="J31" s="99"/>
      <c r="K31" s="99"/>
      <c r="L31" s="5"/>
      <c r="M31" s="5"/>
    </row>
    <row r="32" spans="1:13" x14ac:dyDescent="0.35">
      <c r="C32" s="52" t="s">
        <v>733</v>
      </c>
      <c r="D32" s="53">
        <v>50000</v>
      </c>
    </row>
    <row r="33" spans="1:11" ht="15.5" x14ac:dyDescent="0.35">
      <c r="C33" s="52" t="s">
        <v>734</v>
      </c>
      <c r="D33" s="53">
        <v>55000</v>
      </c>
      <c r="F33" s="66"/>
    </row>
    <row r="34" spans="1:11" x14ac:dyDescent="0.35">
      <c r="C34" s="52" t="s">
        <v>735</v>
      </c>
      <c r="D34" s="53">
        <v>85000</v>
      </c>
    </row>
    <row r="35" spans="1:11" x14ac:dyDescent="0.35">
      <c r="C35" s="52" t="s">
        <v>736</v>
      </c>
      <c r="D35" s="53">
        <v>120000</v>
      </c>
      <c r="G35" s="4"/>
      <c r="H35" s="4"/>
      <c r="I35" s="4"/>
      <c r="J35" s="4"/>
      <c r="K35" s="4"/>
    </row>
    <row r="36" spans="1:11" x14ac:dyDescent="0.35">
      <c r="C36" s="52" t="s">
        <v>747</v>
      </c>
      <c r="D36" s="53">
        <v>130000</v>
      </c>
      <c r="E36" s="68">
        <f>D36*cpi_2018to2012</f>
        <v>118820</v>
      </c>
      <c r="G36" s="4"/>
      <c r="H36" s="4"/>
      <c r="I36" s="4"/>
      <c r="J36" s="4"/>
      <c r="K36" s="4"/>
    </row>
    <row r="37" spans="1:11" x14ac:dyDescent="0.35">
      <c r="G37" s="4"/>
      <c r="H37" s="4"/>
      <c r="I37" s="4"/>
      <c r="J37" s="4"/>
      <c r="K37" s="4"/>
    </row>
    <row r="38" spans="1:11" s="5" customFormat="1" x14ac:dyDescent="0.35"/>
    <row r="39" spans="1:11" s="5" customFormat="1" ht="15.5" x14ac:dyDescent="0.35">
      <c r="A39" s="66" t="s">
        <v>757</v>
      </c>
      <c r="B39" s="66"/>
      <c r="C39"/>
      <c r="D39"/>
      <c r="E39"/>
      <c r="F39"/>
      <c r="G39" s="143"/>
      <c r="H39" s="143"/>
    </row>
    <row r="40" spans="1:11" s="5" customFormat="1" ht="15.5" x14ac:dyDescent="0.35">
      <c r="A40" s="66"/>
      <c r="B40" s="66"/>
      <c r="C40" s="74"/>
      <c r="D40" s="74"/>
      <c r="E40" s="74"/>
      <c r="F40" s="74"/>
      <c r="G40" s="166"/>
      <c r="H40" s="166"/>
    </row>
    <row r="41" spans="1:11" s="5" customFormat="1" x14ac:dyDescent="0.35">
      <c r="A41"/>
      <c r="B41"/>
      <c r="C41"/>
      <c r="D41"/>
      <c r="E41"/>
      <c r="F41"/>
      <c r="G41" s="166"/>
      <c r="H41" s="166"/>
    </row>
    <row r="42" spans="1:11" s="5" customFormat="1" x14ac:dyDescent="0.35">
      <c r="A42" s="51" t="s">
        <v>741</v>
      </c>
      <c r="B42" s="51" t="s">
        <v>742</v>
      </c>
      <c r="C42" s="51" t="s">
        <v>734</v>
      </c>
      <c r="D42" s="51" t="s">
        <v>735</v>
      </c>
      <c r="E42" s="60" t="s">
        <v>736</v>
      </c>
      <c r="F42" s="56" t="s">
        <v>743</v>
      </c>
      <c r="G42" s="166"/>
      <c r="H42" s="166"/>
    </row>
    <row r="43" spans="1:11" s="5" customFormat="1" x14ac:dyDescent="0.35">
      <c r="A43" s="51">
        <v>2024</v>
      </c>
      <c r="B43" s="54">
        <v>53761</v>
      </c>
      <c r="C43" s="54">
        <v>6436</v>
      </c>
      <c r="D43" s="54">
        <v>7556</v>
      </c>
      <c r="E43" s="63">
        <v>1119</v>
      </c>
      <c r="F43" s="57">
        <v>4686</v>
      </c>
      <c r="G43" s="166"/>
      <c r="H43" s="166"/>
    </row>
    <row r="44" spans="1:11" s="5" customFormat="1" x14ac:dyDescent="0.35">
      <c r="A44" s="51">
        <v>2025</v>
      </c>
      <c r="B44" s="54">
        <v>54217</v>
      </c>
      <c r="C44" s="54">
        <v>6531</v>
      </c>
      <c r="D44" s="54">
        <v>7667</v>
      </c>
      <c r="E44" s="63">
        <v>1137</v>
      </c>
      <c r="F44" s="57">
        <v>4769</v>
      </c>
      <c r="G44" s="166"/>
      <c r="H44" s="166"/>
    </row>
    <row r="45" spans="1:11" s="5" customFormat="1" x14ac:dyDescent="0.35">
      <c r="A45" s="51">
        <v>2026</v>
      </c>
      <c r="B45" s="54">
        <v>54753</v>
      </c>
      <c r="C45" s="54">
        <v>6649</v>
      </c>
      <c r="D45" s="54">
        <v>7806</v>
      </c>
      <c r="E45" s="63">
        <v>1177</v>
      </c>
      <c r="F45" s="57">
        <v>4918</v>
      </c>
      <c r="G45" s="166"/>
      <c r="H45" s="166"/>
    </row>
    <row r="46" spans="1:11" s="5" customFormat="1" x14ac:dyDescent="0.35">
      <c r="A46" s="51">
        <v>2027</v>
      </c>
      <c r="B46" s="54">
        <v>55152</v>
      </c>
      <c r="C46" s="54">
        <v>6786</v>
      </c>
      <c r="D46" s="54">
        <v>7966</v>
      </c>
      <c r="E46" s="63">
        <v>1194</v>
      </c>
      <c r="F46" s="57">
        <v>4993</v>
      </c>
      <c r="G46" s="166"/>
      <c r="H46" s="166"/>
    </row>
    <row r="47" spans="1:11" s="5" customFormat="1" x14ac:dyDescent="0.35">
      <c r="A47" s="51">
        <v>2028</v>
      </c>
      <c r="B47" s="54">
        <v>55765</v>
      </c>
      <c r="C47" s="54">
        <v>6904</v>
      </c>
      <c r="D47" s="54">
        <v>8105</v>
      </c>
      <c r="E47" s="63">
        <v>1216</v>
      </c>
      <c r="F47" s="57">
        <v>5075</v>
      </c>
      <c r="G47" s="166"/>
      <c r="H47" s="166"/>
    </row>
    <row r="48" spans="1:11" s="5" customFormat="1" x14ac:dyDescent="0.35">
      <c r="A48" s="51">
        <v>2029</v>
      </c>
      <c r="B48" s="54">
        <v>56371</v>
      </c>
      <c r="C48" s="54">
        <v>7024</v>
      </c>
      <c r="D48" s="54">
        <v>8246</v>
      </c>
      <c r="E48" s="63">
        <v>1239</v>
      </c>
      <c r="F48" s="57">
        <v>5161</v>
      </c>
      <c r="G48" s="166"/>
      <c r="H48" s="166"/>
    </row>
    <row r="49" spans="1:8" s="5" customFormat="1" x14ac:dyDescent="0.35">
      <c r="A49" s="51">
        <v>2030</v>
      </c>
      <c r="B49" s="54">
        <v>56968</v>
      </c>
      <c r="C49" s="54">
        <v>7147</v>
      </c>
      <c r="D49" s="54">
        <v>8390</v>
      </c>
      <c r="E49" s="63">
        <v>1264</v>
      </c>
      <c r="F49" s="57">
        <v>5263</v>
      </c>
      <c r="G49" s="166"/>
      <c r="H49" s="166"/>
    </row>
    <row r="50" spans="1:8" s="5" customFormat="1" x14ac:dyDescent="0.35">
      <c r="A50" s="51" t="s">
        <v>758</v>
      </c>
      <c r="B50" s="54">
        <f>SUM(B43:B49)</f>
        <v>386987</v>
      </c>
      <c r="C50" s="54">
        <f t="shared" ref="C50:F50" si="0">SUM(C43:C49)</f>
        <v>47477</v>
      </c>
      <c r="D50" s="54">
        <f t="shared" si="0"/>
        <v>55736</v>
      </c>
      <c r="E50" s="54">
        <f t="shared" si="0"/>
        <v>8346</v>
      </c>
      <c r="F50" s="54">
        <f t="shared" si="0"/>
        <v>34865</v>
      </c>
    </row>
    <row r="51" spans="1:8" s="5" customFormat="1" x14ac:dyDescent="0.35">
      <c r="A51" s="193"/>
      <c r="B51" s="195" t="s">
        <v>729</v>
      </c>
      <c r="C51" s="195"/>
      <c r="D51" s="195"/>
      <c r="E51" s="196"/>
      <c r="F51" s="58" t="s">
        <v>730</v>
      </c>
    </row>
    <row r="52" spans="1:8" s="5" customFormat="1" x14ac:dyDescent="0.35">
      <c r="A52" s="194"/>
      <c r="B52" s="60" t="s">
        <v>742</v>
      </c>
      <c r="C52" s="60" t="s">
        <v>734</v>
      </c>
      <c r="D52" s="60" t="s">
        <v>735</v>
      </c>
      <c r="E52" s="60" t="s">
        <v>736</v>
      </c>
      <c r="F52" s="56" t="s">
        <v>743</v>
      </c>
    </row>
    <row r="53" spans="1:8" s="5" customFormat="1" x14ac:dyDescent="0.35">
      <c r="A53" s="51" t="s">
        <v>759</v>
      </c>
      <c r="B53" s="55">
        <f>B50/SUM($B50:$E50)</f>
        <v>0.7762312805638798</v>
      </c>
      <c r="C53" s="55">
        <f>C50/SUM($B50:$E50)</f>
        <v>9.5230931548944325E-2</v>
      </c>
      <c r="D53" s="55">
        <f>D50/SUM($B50:$E50)</f>
        <v>0.11179710598420206</v>
      </c>
      <c r="E53" s="55">
        <f>E50/SUM($B50:$E50)</f>
        <v>1.6740681902973849E-2</v>
      </c>
      <c r="F53" s="59">
        <f>F43/F43</f>
        <v>1</v>
      </c>
    </row>
    <row r="54" spans="1:8" s="5" customFormat="1" x14ac:dyDescent="0.35">
      <c r="A54" s="51"/>
      <c r="B54" s="55"/>
      <c r="C54" s="55"/>
      <c r="D54" s="55"/>
      <c r="E54" s="55"/>
      <c r="F54" s="59"/>
    </row>
    <row r="55" spans="1:8" s="5" customFormat="1" x14ac:dyDescent="0.35"/>
    <row r="56" spans="1:8" s="5" customFormat="1" x14ac:dyDescent="0.35"/>
    <row r="57" spans="1:8" s="5" customFormat="1" x14ac:dyDescent="0.35"/>
    <row r="58" spans="1:8" s="5" customFormat="1" x14ac:dyDescent="0.35"/>
    <row r="59" spans="1:8" s="5" customFormat="1" x14ac:dyDescent="0.35"/>
    <row r="60" spans="1:8" s="5" customFormat="1" x14ac:dyDescent="0.35"/>
    <row r="61" spans="1:8" s="5" customFormat="1" x14ac:dyDescent="0.35"/>
    <row r="62" spans="1:8" s="5" customFormat="1" x14ac:dyDescent="0.35"/>
    <row r="63" spans="1:8" s="5" customFormat="1" x14ac:dyDescent="0.35"/>
    <row r="64" spans="1:8" s="5" customFormat="1" x14ac:dyDescent="0.35"/>
    <row r="65" spans="1:2" s="5" customFormat="1" x14ac:dyDescent="0.35"/>
    <row r="66" spans="1:2" s="5" customFormat="1" x14ac:dyDescent="0.35">
      <c r="A66" s="99"/>
      <c r="B66" s="166"/>
    </row>
    <row r="67" spans="1:2" s="5" customFormat="1" x14ac:dyDescent="0.35">
      <c r="B67" s="24"/>
    </row>
    <row r="68" spans="1:2" s="5" customFormat="1" x14ac:dyDescent="0.35">
      <c r="A68" s="99"/>
      <c r="B68" s="167"/>
    </row>
  </sheetData>
  <mergeCells count="2">
    <mergeCell ref="A51:A52"/>
    <mergeCell ref="B51:E51"/>
  </mergeCells>
  <phoneticPr fontId="11" type="noConversion"/>
  <hyperlinks>
    <hyperlink ref="A3" r:id="rId1" xr:uid="{3316D8DD-F250-42AD-86F7-3886A9F31763}"/>
  </hyperlinks>
  <pageMargins left="0.7" right="0.7" top="0.75" bottom="0.75" header="0.3" footer="0.3"/>
  <pageSetup orientation="portrait" horizontalDpi="4294967293"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3"/>
  <dimension ref="A1:AK98"/>
  <sheetViews>
    <sheetView workbookViewId="0">
      <pane xSplit="2" ySplit="1" topLeftCell="C2" activePane="bottomRight" state="frozen"/>
      <selection pane="topRight" activeCell="C1" sqref="C1"/>
      <selection pane="bottomLeft" activeCell="A2" sqref="A2"/>
      <selection pane="bottomRight" activeCell="D23" sqref="D23"/>
    </sheetView>
  </sheetViews>
  <sheetFormatPr defaultRowHeight="15" customHeight="1" x14ac:dyDescent="0.35"/>
  <cols>
    <col min="1" max="1" width="14.7265625" customWidth="1"/>
    <col min="2" max="2" width="45.7265625" customWidth="1"/>
  </cols>
  <sheetData>
    <row r="1" spans="1:37" ht="15" customHeight="1" thickBot="1" x14ac:dyDescent="0.4">
      <c r="A1" s="25"/>
      <c r="B1" s="26" t="s">
        <v>570</v>
      </c>
      <c r="C1" s="27">
        <v>2019</v>
      </c>
      <c r="D1" s="27">
        <v>2020</v>
      </c>
      <c r="E1" s="27">
        <v>2021</v>
      </c>
      <c r="F1" s="27">
        <v>2022</v>
      </c>
      <c r="G1" s="27">
        <v>2023</v>
      </c>
      <c r="H1" s="27">
        <v>2024</v>
      </c>
      <c r="I1" s="27">
        <v>2025</v>
      </c>
      <c r="J1" s="27">
        <v>2026</v>
      </c>
      <c r="K1" s="27">
        <v>2027</v>
      </c>
      <c r="L1" s="27">
        <v>2028</v>
      </c>
      <c r="M1" s="27">
        <v>2029</v>
      </c>
      <c r="N1" s="27">
        <v>2030</v>
      </c>
      <c r="O1" s="27">
        <v>2031</v>
      </c>
      <c r="P1" s="27">
        <v>2032</v>
      </c>
      <c r="Q1" s="27">
        <v>2033</v>
      </c>
      <c r="R1" s="27">
        <v>2034</v>
      </c>
      <c r="S1" s="27">
        <v>2035</v>
      </c>
      <c r="T1" s="27">
        <v>2036</v>
      </c>
      <c r="U1" s="27">
        <v>2037</v>
      </c>
      <c r="V1" s="27">
        <v>2038</v>
      </c>
      <c r="W1" s="27">
        <v>2039</v>
      </c>
      <c r="X1" s="27">
        <v>2040</v>
      </c>
      <c r="Y1" s="27">
        <v>2041</v>
      </c>
      <c r="Z1" s="27">
        <v>2042</v>
      </c>
      <c r="AA1" s="27">
        <v>2043</v>
      </c>
      <c r="AB1" s="27">
        <v>2044</v>
      </c>
      <c r="AC1" s="27">
        <v>2045</v>
      </c>
      <c r="AD1" s="27">
        <v>2046</v>
      </c>
      <c r="AE1" s="27">
        <v>2047</v>
      </c>
      <c r="AF1" s="27">
        <v>2048</v>
      </c>
      <c r="AG1" s="27">
        <v>2049</v>
      </c>
      <c r="AH1" s="27">
        <v>2050</v>
      </c>
      <c r="AI1" s="25"/>
      <c r="AJ1" s="27"/>
    </row>
    <row r="2" spans="1:37" ht="15" customHeight="1" thickTop="1" x14ac:dyDescent="0.35">
      <c r="A2" s="25"/>
      <c r="B2" s="25"/>
      <c r="C2" s="25"/>
      <c r="D2" s="25"/>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row>
    <row r="3" spans="1:37" ht="15" customHeight="1" x14ac:dyDescent="0.35">
      <c r="A3" s="25"/>
      <c r="B3" s="25"/>
      <c r="C3" s="28" t="s">
        <v>18</v>
      </c>
      <c r="D3" s="28" t="s">
        <v>571</v>
      </c>
      <c r="E3" s="28"/>
      <c r="F3" s="28"/>
      <c r="G3" s="28"/>
      <c r="H3" s="28"/>
      <c r="I3" s="25"/>
      <c r="J3" s="25"/>
      <c r="K3" s="25"/>
      <c r="L3" s="25"/>
      <c r="M3" s="25"/>
      <c r="N3" s="25"/>
      <c r="O3" s="25"/>
      <c r="P3" s="25"/>
      <c r="Q3" s="25"/>
      <c r="R3" s="25"/>
      <c r="S3" s="25"/>
      <c r="T3" s="25"/>
      <c r="U3" s="25"/>
      <c r="V3" s="25"/>
      <c r="W3" s="25"/>
      <c r="X3" s="25"/>
      <c r="Y3" s="25"/>
      <c r="Z3" s="25"/>
      <c r="AA3" s="25"/>
      <c r="AB3" s="25"/>
      <c r="AC3" s="25"/>
      <c r="AD3" s="25"/>
      <c r="AE3" s="25"/>
      <c r="AF3" s="25"/>
      <c r="AG3" s="25"/>
      <c r="AH3" s="25"/>
      <c r="AI3" s="25"/>
    </row>
    <row r="4" spans="1:37" ht="15" customHeight="1" x14ac:dyDescent="0.35">
      <c r="A4" s="25"/>
      <c r="B4" s="25"/>
      <c r="C4" s="28" t="s">
        <v>17</v>
      </c>
      <c r="D4" s="28" t="s">
        <v>572</v>
      </c>
      <c r="E4" s="28"/>
      <c r="F4" s="28"/>
      <c r="G4" s="28" t="s">
        <v>16</v>
      </c>
      <c r="H4" s="28"/>
      <c r="I4" s="25"/>
      <c r="J4" s="25"/>
      <c r="K4" s="25"/>
      <c r="L4" s="25"/>
      <c r="M4" s="25"/>
      <c r="N4" s="25"/>
      <c r="O4" s="25"/>
      <c r="P4" s="25"/>
      <c r="Q4" s="25"/>
      <c r="R4" s="25"/>
      <c r="S4" s="25"/>
      <c r="T4" s="25"/>
      <c r="U4" s="25"/>
      <c r="V4" s="25"/>
      <c r="W4" s="25"/>
      <c r="X4" s="25"/>
      <c r="Y4" s="25"/>
      <c r="Z4" s="25"/>
      <c r="AA4" s="25"/>
      <c r="AB4" s="25"/>
      <c r="AC4" s="25"/>
      <c r="AD4" s="25"/>
      <c r="AE4" s="25"/>
      <c r="AF4" s="25"/>
      <c r="AG4" s="25"/>
      <c r="AH4" s="25"/>
      <c r="AI4" s="25"/>
    </row>
    <row r="5" spans="1:37" ht="15" customHeight="1" x14ac:dyDescent="0.35">
      <c r="A5" s="25"/>
      <c r="B5" s="25"/>
      <c r="C5" s="28" t="s">
        <v>15</v>
      </c>
      <c r="D5" s="28" t="s">
        <v>573</v>
      </c>
      <c r="E5" s="28"/>
      <c r="F5" s="28"/>
      <c r="G5" s="28"/>
      <c r="H5" s="28"/>
      <c r="I5" s="25"/>
      <c r="J5" s="25"/>
      <c r="K5" s="25"/>
      <c r="L5" s="25"/>
      <c r="M5" s="25"/>
      <c r="N5" s="25"/>
      <c r="O5" s="25"/>
      <c r="P5" s="25"/>
      <c r="Q5" s="25"/>
      <c r="R5" s="25"/>
      <c r="S5" s="25"/>
      <c r="T5" s="25"/>
      <c r="U5" s="25"/>
      <c r="V5" s="25"/>
      <c r="W5" s="25"/>
      <c r="X5" s="25"/>
      <c r="Y5" s="25"/>
      <c r="Z5" s="25"/>
      <c r="AA5" s="25"/>
      <c r="AB5" s="25"/>
      <c r="AC5" s="25"/>
      <c r="AD5" s="25"/>
      <c r="AE5" s="25"/>
      <c r="AF5" s="25"/>
      <c r="AG5" s="25"/>
      <c r="AH5" s="25"/>
      <c r="AI5" s="25"/>
    </row>
    <row r="6" spans="1:37" ht="15" customHeight="1" x14ac:dyDescent="0.35">
      <c r="A6" s="25"/>
      <c r="B6" s="25"/>
      <c r="C6" s="28" t="s">
        <v>14</v>
      </c>
      <c r="D6" s="28"/>
      <c r="E6" s="28" t="s">
        <v>574</v>
      </c>
      <c r="F6" s="28"/>
      <c r="G6" s="28"/>
      <c r="H6" s="28"/>
      <c r="I6" s="25"/>
      <c r="J6" s="25"/>
      <c r="K6" s="25"/>
      <c r="L6" s="25"/>
      <c r="M6" s="25"/>
      <c r="N6" s="25"/>
      <c r="O6" s="25"/>
      <c r="P6" s="25"/>
      <c r="Q6" s="25"/>
      <c r="R6" s="25"/>
      <c r="S6" s="25"/>
      <c r="T6" s="25"/>
      <c r="U6" s="25"/>
      <c r="V6" s="25"/>
      <c r="W6" s="25"/>
      <c r="X6" s="25"/>
      <c r="Y6" s="25"/>
      <c r="Z6" s="25"/>
      <c r="AA6" s="25"/>
      <c r="AB6" s="25"/>
      <c r="AC6" s="25"/>
      <c r="AD6" s="25"/>
      <c r="AE6" s="25"/>
      <c r="AF6" s="25"/>
      <c r="AG6" s="25"/>
      <c r="AH6" s="25"/>
      <c r="AI6" s="25"/>
    </row>
    <row r="10" spans="1:37" ht="15" customHeight="1" x14ac:dyDescent="0.35">
      <c r="A10" s="29" t="s">
        <v>575</v>
      </c>
      <c r="B10" s="30" t="s">
        <v>576</v>
      </c>
      <c r="C10" s="25"/>
      <c r="D10" s="25"/>
      <c r="E10" s="25"/>
      <c r="F10" s="25"/>
      <c r="G10" s="25"/>
      <c r="H10" s="25"/>
      <c r="I10" s="25"/>
      <c r="J10" s="25"/>
      <c r="K10" s="25"/>
      <c r="L10" s="25"/>
      <c r="M10" s="25"/>
      <c r="N10" s="25"/>
      <c r="O10" s="25"/>
      <c r="P10" s="25"/>
      <c r="Q10" s="25"/>
      <c r="R10" s="25"/>
      <c r="S10" s="25"/>
      <c r="T10" s="25"/>
      <c r="U10" s="25"/>
      <c r="V10" s="25"/>
      <c r="W10" s="25"/>
      <c r="X10" s="25"/>
      <c r="Y10" s="25"/>
      <c r="Z10" s="25"/>
      <c r="AA10" s="25"/>
      <c r="AB10" s="25"/>
      <c r="AC10" s="25"/>
      <c r="AD10" s="25"/>
      <c r="AE10" s="25"/>
      <c r="AF10" s="25"/>
      <c r="AG10" s="25"/>
      <c r="AH10" s="25"/>
      <c r="AI10" s="25"/>
    </row>
    <row r="11" spans="1:37" ht="15" customHeight="1" x14ac:dyDescent="0.35">
      <c r="A11" s="25"/>
      <c r="B11" s="26" t="s">
        <v>577</v>
      </c>
      <c r="C11" s="25"/>
      <c r="D11" s="25"/>
      <c r="E11" s="25"/>
      <c r="F11" s="25"/>
      <c r="G11" s="25"/>
      <c r="H11" s="25"/>
      <c r="I11" s="25"/>
      <c r="J11" s="25"/>
      <c r="K11" s="25"/>
      <c r="L11" s="25"/>
      <c r="M11" s="25"/>
      <c r="N11" s="25"/>
      <c r="O11" s="25"/>
      <c r="P11" s="25"/>
      <c r="Q11" s="25"/>
      <c r="R11" s="25"/>
      <c r="S11" s="25"/>
      <c r="T11" s="25"/>
      <c r="U11" s="25"/>
      <c r="V11" s="25"/>
      <c r="W11" s="25"/>
      <c r="X11" s="25"/>
      <c r="Y11" s="25"/>
      <c r="Z11" s="25"/>
      <c r="AA11" s="25"/>
      <c r="AB11" s="25"/>
      <c r="AC11" s="25"/>
      <c r="AD11" s="25"/>
      <c r="AE11" s="25"/>
      <c r="AF11" s="25"/>
      <c r="AG11" s="25"/>
      <c r="AH11" s="25"/>
      <c r="AI11" s="25"/>
    </row>
    <row r="12" spans="1:37" ht="15" customHeight="1" x14ac:dyDescent="0.35">
      <c r="A12" s="25"/>
      <c r="B12" s="26" t="s">
        <v>13</v>
      </c>
      <c r="C12" s="31" t="s">
        <v>13</v>
      </c>
      <c r="D12" s="31" t="s">
        <v>13</v>
      </c>
      <c r="E12" s="31" t="s">
        <v>13</v>
      </c>
      <c r="F12" s="31" t="s">
        <v>13</v>
      </c>
      <c r="G12" s="31" t="s">
        <v>13</v>
      </c>
      <c r="H12" s="31" t="s">
        <v>13</v>
      </c>
      <c r="I12" s="31" t="s">
        <v>13</v>
      </c>
      <c r="J12" s="31" t="s">
        <v>13</v>
      </c>
      <c r="K12" s="31" t="s">
        <v>13</v>
      </c>
      <c r="L12" s="31" t="s">
        <v>13</v>
      </c>
      <c r="M12" s="31" t="s">
        <v>13</v>
      </c>
      <c r="N12" s="31" t="s">
        <v>13</v>
      </c>
      <c r="O12" s="31" t="s">
        <v>13</v>
      </c>
      <c r="P12" s="31" t="s">
        <v>13</v>
      </c>
      <c r="Q12" s="31" t="s">
        <v>13</v>
      </c>
      <c r="R12" s="31" t="s">
        <v>13</v>
      </c>
      <c r="S12" s="31" t="s">
        <v>13</v>
      </c>
      <c r="T12" s="31" t="s">
        <v>13</v>
      </c>
      <c r="U12" s="31" t="s">
        <v>13</v>
      </c>
      <c r="V12" s="31" t="s">
        <v>13</v>
      </c>
      <c r="W12" s="31" t="s">
        <v>13</v>
      </c>
      <c r="X12" s="31" t="s">
        <v>13</v>
      </c>
      <c r="Y12" s="31" t="s">
        <v>13</v>
      </c>
      <c r="Z12" s="31" t="s">
        <v>13</v>
      </c>
      <c r="AA12" s="31" t="s">
        <v>13</v>
      </c>
      <c r="AB12" s="31" t="s">
        <v>13</v>
      </c>
      <c r="AC12" s="31" t="s">
        <v>13</v>
      </c>
      <c r="AD12" s="31" t="s">
        <v>13</v>
      </c>
      <c r="AE12" s="31" t="s">
        <v>13</v>
      </c>
      <c r="AF12" s="31" t="s">
        <v>13</v>
      </c>
      <c r="AG12" s="31" t="s">
        <v>13</v>
      </c>
      <c r="AH12" s="31" t="s">
        <v>13</v>
      </c>
      <c r="AI12" s="31" t="s">
        <v>578</v>
      </c>
      <c r="AJ12" s="23"/>
      <c r="AK12" s="23"/>
    </row>
    <row r="13" spans="1:37" ht="15" customHeight="1" thickBot="1" x14ac:dyDescent="0.4">
      <c r="A13" s="25"/>
      <c r="B13" s="27" t="s">
        <v>409</v>
      </c>
      <c r="C13" s="27">
        <v>2019</v>
      </c>
      <c r="D13" s="27">
        <v>2020</v>
      </c>
      <c r="E13" s="27">
        <v>2021</v>
      </c>
      <c r="F13" s="27">
        <v>2022</v>
      </c>
      <c r="G13" s="27">
        <v>2023</v>
      </c>
      <c r="H13" s="27">
        <v>2024</v>
      </c>
      <c r="I13" s="27">
        <v>2025</v>
      </c>
      <c r="J13" s="27">
        <v>2026</v>
      </c>
      <c r="K13" s="27">
        <v>2027</v>
      </c>
      <c r="L13" s="27">
        <v>2028</v>
      </c>
      <c r="M13" s="27">
        <v>2029</v>
      </c>
      <c r="N13" s="27">
        <v>2030</v>
      </c>
      <c r="O13" s="27">
        <v>2031</v>
      </c>
      <c r="P13" s="27">
        <v>2032</v>
      </c>
      <c r="Q13" s="27">
        <v>2033</v>
      </c>
      <c r="R13" s="27">
        <v>2034</v>
      </c>
      <c r="S13" s="27">
        <v>2035</v>
      </c>
      <c r="T13" s="27">
        <v>2036</v>
      </c>
      <c r="U13" s="27">
        <v>2037</v>
      </c>
      <c r="V13" s="27">
        <v>2038</v>
      </c>
      <c r="W13" s="27">
        <v>2039</v>
      </c>
      <c r="X13" s="27">
        <v>2040</v>
      </c>
      <c r="Y13" s="27">
        <v>2041</v>
      </c>
      <c r="Z13" s="27">
        <v>2042</v>
      </c>
      <c r="AA13" s="27">
        <v>2043</v>
      </c>
      <c r="AB13" s="27">
        <v>2044</v>
      </c>
      <c r="AC13" s="27">
        <v>2045</v>
      </c>
      <c r="AD13" s="27">
        <v>2046</v>
      </c>
      <c r="AE13" s="27">
        <v>2047</v>
      </c>
      <c r="AF13" s="27">
        <v>2048</v>
      </c>
      <c r="AG13" s="27">
        <v>2049</v>
      </c>
      <c r="AH13" s="27">
        <v>2050</v>
      </c>
      <c r="AI13" s="27">
        <v>2050</v>
      </c>
      <c r="AJ13" s="27"/>
      <c r="AK13" s="27"/>
    </row>
    <row r="14" spans="1:37" ht="15" customHeight="1" thickTop="1" x14ac:dyDescent="0.35">
      <c r="A14" s="25"/>
      <c r="B14" s="25"/>
      <c r="C14" s="25"/>
      <c r="D14" s="25"/>
      <c r="E14" s="25"/>
      <c r="F14" s="25"/>
      <c r="G14" s="25"/>
      <c r="H14" s="25"/>
      <c r="I14" s="25"/>
      <c r="J14" s="25"/>
      <c r="K14" s="25"/>
      <c r="L14" s="25"/>
      <c r="M14" s="25"/>
      <c r="N14" s="25"/>
      <c r="O14" s="25"/>
      <c r="P14" s="25"/>
      <c r="Q14" s="25"/>
      <c r="R14" s="25"/>
      <c r="S14" s="25"/>
      <c r="T14" s="25"/>
      <c r="U14" s="25"/>
      <c r="V14" s="25"/>
      <c r="W14" s="25"/>
      <c r="X14" s="25"/>
      <c r="Y14" s="25"/>
      <c r="Z14" s="25"/>
      <c r="AA14" s="25"/>
      <c r="AB14" s="25"/>
      <c r="AC14" s="25"/>
      <c r="AD14" s="25"/>
      <c r="AE14" s="25"/>
      <c r="AF14" s="25"/>
      <c r="AG14" s="25"/>
      <c r="AH14" s="25"/>
      <c r="AI14" s="25"/>
    </row>
    <row r="15" spans="1:37" ht="15" customHeight="1" x14ac:dyDescent="0.35">
      <c r="A15" s="25"/>
      <c r="B15" s="32" t="s">
        <v>579</v>
      </c>
      <c r="C15" s="25"/>
      <c r="D15" s="25"/>
      <c r="E15" s="25"/>
      <c r="F15" s="25"/>
      <c r="G15" s="25"/>
      <c r="H15" s="25"/>
      <c r="I15" s="25"/>
      <c r="J15" s="25"/>
      <c r="K15" s="25"/>
      <c r="L15" s="25"/>
      <c r="M15" s="25"/>
      <c r="N15" s="25"/>
      <c r="O15" s="25"/>
      <c r="P15" s="25"/>
      <c r="Q15" s="25"/>
      <c r="R15" s="25"/>
      <c r="S15" s="25"/>
      <c r="T15" s="25"/>
      <c r="U15" s="25"/>
      <c r="V15" s="25"/>
      <c r="W15" s="25"/>
      <c r="X15" s="25"/>
      <c r="Y15" s="25"/>
      <c r="Z15" s="25"/>
      <c r="AA15" s="25"/>
      <c r="AB15" s="25"/>
      <c r="AC15" s="25"/>
      <c r="AD15" s="25"/>
      <c r="AE15" s="25"/>
      <c r="AF15" s="25"/>
      <c r="AG15" s="25"/>
      <c r="AH15" s="25"/>
      <c r="AI15" s="25"/>
    </row>
    <row r="16" spans="1:37" ht="15" customHeight="1" x14ac:dyDescent="0.35">
      <c r="A16" s="25"/>
      <c r="B16" s="32" t="s">
        <v>408</v>
      </c>
      <c r="C16" s="25"/>
      <c r="D16" s="25"/>
      <c r="E16" s="25"/>
      <c r="F16" s="25"/>
      <c r="G16" s="25"/>
      <c r="H16" s="25"/>
      <c r="I16" s="25"/>
      <c r="J16" s="25"/>
      <c r="K16" s="25"/>
      <c r="L16" s="25"/>
      <c r="M16" s="25"/>
      <c r="N16" s="25"/>
      <c r="O16" s="25"/>
      <c r="P16" s="25"/>
      <c r="Q16" s="25"/>
      <c r="R16" s="25"/>
      <c r="S16" s="25"/>
      <c r="T16" s="25"/>
      <c r="U16" s="25"/>
      <c r="V16" s="25"/>
      <c r="W16" s="25"/>
      <c r="X16" s="25"/>
      <c r="Y16" s="25"/>
      <c r="Z16" s="25"/>
      <c r="AA16" s="25"/>
      <c r="AB16" s="25"/>
      <c r="AC16" s="25"/>
      <c r="AD16" s="25"/>
      <c r="AE16" s="25"/>
      <c r="AF16" s="25"/>
      <c r="AG16" s="25"/>
      <c r="AH16" s="25"/>
      <c r="AI16" s="25"/>
    </row>
    <row r="17" spans="1:37" ht="15" customHeight="1" x14ac:dyDescent="0.35">
      <c r="A17" s="29" t="s">
        <v>580</v>
      </c>
      <c r="B17" s="33" t="s">
        <v>403</v>
      </c>
      <c r="C17" s="34">
        <v>122.92353799999999</v>
      </c>
      <c r="D17" s="34">
        <v>122.725891</v>
      </c>
      <c r="E17" s="34">
        <v>122.30687</v>
      </c>
      <c r="F17" s="34">
        <v>121.81300400000001</v>
      </c>
      <c r="G17" s="34">
        <v>121.386841</v>
      </c>
      <c r="H17" s="34">
        <v>120.9935</v>
      </c>
      <c r="I17" s="34">
        <v>120.69064299999999</v>
      </c>
      <c r="J17" s="34">
        <v>120.400482</v>
      </c>
      <c r="K17" s="34">
        <v>120.139923</v>
      </c>
      <c r="L17" s="34">
        <v>119.830246</v>
      </c>
      <c r="M17" s="34">
        <v>119.47908</v>
      </c>
      <c r="N17" s="34">
        <v>119.113518</v>
      </c>
      <c r="O17" s="34">
        <v>118.698387</v>
      </c>
      <c r="P17" s="34">
        <v>118.266998</v>
      </c>
      <c r="Q17" s="34">
        <v>117.861717</v>
      </c>
      <c r="R17" s="34">
        <v>117.507431</v>
      </c>
      <c r="S17" s="34">
        <v>117.232727</v>
      </c>
      <c r="T17" s="34">
        <v>117.065781</v>
      </c>
      <c r="U17" s="34">
        <v>116.990936</v>
      </c>
      <c r="V17" s="34">
        <v>117.041061</v>
      </c>
      <c r="W17" s="34">
        <v>117.20017199999999</v>
      </c>
      <c r="X17" s="34">
        <v>117.436325</v>
      </c>
      <c r="Y17" s="34">
        <v>117.749268</v>
      </c>
      <c r="Z17" s="34">
        <v>118.14025100000001</v>
      </c>
      <c r="AA17" s="34">
        <v>118.562859</v>
      </c>
      <c r="AB17" s="34">
        <v>119.018288</v>
      </c>
      <c r="AC17" s="34">
        <v>119.510406</v>
      </c>
      <c r="AD17" s="34">
        <v>120.009911</v>
      </c>
      <c r="AE17" s="34">
        <v>120.519531</v>
      </c>
      <c r="AF17" s="34">
        <v>121.03430899999999</v>
      </c>
      <c r="AG17" s="34">
        <v>121.531029</v>
      </c>
      <c r="AH17" s="34">
        <v>122.013756</v>
      </c>
      <c r="AI17" s="35">
        <v>-2.4000000000000001E-4</v>
      </c>
      <c r="AJ17" s="36"/>
      <c r="AK17" s="37"/>
    </row>
    <row r="18" spans="1:37" ht="15" customHeight="1" x14ac:dyDescent="0.35">
      <c r="A18" s="29" t="s">
        <v>581</v>
      </c>
      <c r="B18" s="33" t="s">
        <v>402</v>
      </c>
      <c r="C18" s="34">
        <v>0.74902500000000005</v>
      </c>
      <c r="D18" s="34">
        <v>0.71523499999999995</v>
      </c>
      <c r="E18" s="34">
        <v>0.680836</v>
      </c>
      <c r="F18" s="34">
        <v>0.64661599999999997</v>
      </c>
      <c r="G18" s="34">
        <v>0.61222100000000002</v>
      </c>
      <c r="H18" s="34">
        <v>0.57722799999999996</v>
      </c>
      <c r="I18" s="34">
        <v>0.54101600000000005</v>
      </c>
      <c r="J18" s="34">
        <v>0.50303299999999995</v>
      </c>
      <c r="K18" s="34">
        <v>0.46305099999999999</v>
      </c>
      <c r="L18" s="34">
        <v>0.42260700000000001</v>
      </c>
      <c r="M18" s="34">
        <v>0.382747</v>
      </c>
      <c r="N18" s="34">
        <v>0.34535199999999999</v>
      </c>
      <c r="O18" s="34">
        <v>0.312612</v>
      </c>
      <c r="P18" s="34">
        <v>0.28575400000000001</v>
      </c>
      <c r="Q18" s="34">
        <v>0.26478000000000002</v>
      </c>
      <c r="R18" s="34">
        <v>0.24906900000000001</v>
      </c>
      <c r="S18" s="34">
        <v>0.23785000000000001</v>
      </c>
      <c r="T18" s="34">
        <v>0.23103599999999999</v>
      </c>
      <c r="U18" s="34">
        <v>0.22871</v>
      </c>
      <c r="V18" s="34">
        <v>0.230044</v>
      </c>
      <c r="W18" s="34">
        <v>0.23396400000000001</v>
      </c>
      <c r="X18" s="34">
        <v>0.23974400000000001</v>
      </c>
      <c r="Y18" s="34">
        <v>0.24659300000000001</v>
      </c>
      <c r="Z18" s="34">
        <v>0.253857</v>
      </c>
      <c r="AA18" s="34">
        <v>0.26134600000000002</v>
      </c>
      <c r="AB18" s="34">
        <v>0.26886500000000002</v>
      </c>
      <c r="AC18" s="34">
        <v>0.276333</v>
      </c>
      <c r="AD18" s="34">
        <v>0.28359800000000002</v>
      </c>
      <c r="AE18" s="34">
        <v>0.29061100000000001</v>
      </c>
      <c r="AF18" s="34">
        <v>0.29733300000000001</v>
      </c>
      <c r="AG18" s="34">
        <v>0.30366700000000002</v>
      </c>
      <c r="AH18" s="34">
        <v>0.30960599999999999</v>
      </c>
      <c r="AI18" s="35">
        <v>-2.8097E-2</v>
      </c>
      <c r="AJ18" s="36"/>
      <c r="AK18" s="37"/>
    </row>
    <row r="19" spans="1:37" ht="15" customHeight="1" x14ac:dyDescent="0.35">
      <c r="A19" s="29" t="s">
        <v>582</v>
      </c>
      <c r="B19" s="33" t="s">
        <v>407</v>
      </c>
      <c r="C19" s="34">
        <v>123.672562</v>
      </c>
      <c r="D19" s="34">
        <v>123.441124</v>
      </c>
      <c r="E19" s="34">
        <v>122.987709</v>
      </c>
      <c r="F19" s="34">
        <v>122.45961800000001</v>
      </c>
      <c r="G19" s="34">
        <v>121.999062</v>
      </c>
      <c r="H19" s="34">
        <v>121.570724</v>
      </c>
      <c r="I19" s="34">
        <v>121.23165899999999</v>
      </c>
      <c r="J19" s="34">
        <v>120.903519</v>
      </c>
      <c r="K19" s="34">
        <v>120.602974</v>
      </c>
      <c r="L19" s="34">
        <v>120.252853</v>
      </c>
      <c r="M19" s="34">
        <v>119.861824</v>
      </c>
      <c r="N19" s="34">
        <v>119.45887</v>
      </c>
      <c r="O19" s="34">
        <v>119.011002</v>
      </c>
      <c r="P19" s="34">
        <v>118.55275</v>
      </c>
      <c r="Q19" s="34">
        <v>118.12649500000001</v>
      </c>
      <c r="R19" s="34">
        <v>117.7565</v>
      </c>
      <c r="S19" s="34">
        <v>117.470573</v>
      </c>
      <c r="T19" s="34">
        <v>117.296814</v>
      </c>
      <c r="U19" s="34">
        <v>117.21965</v>
      </c>
      <c r="V19" s="34">
        <v>117.271103</v>
      </c>
      <c r="W19" s="34">
        <v>117.434135</v>
      </c>
      <c r="X19" s="34">
        <v>117.67607099999999</v>
      </c>
      <c r="Y19" s="34">
        <v>117.995857</v>
      </c>
      <c r="Z19" s="34">
        <v>118.39411200000001</v>
      </c>
      <c r="AA19" s="34">
        <v>118.824203</v>
      </c>
      <c r="AB19" s="34">
        <v>119.287155</v>
      </c>
      <c r="AC19" s="34">
        <v>119.786743</v>
      </c>
      <c r="AD19" s="34">
        <v>120.29351</v>
      </c>
      <c r="AE19" s="34">
        <v>120.810143</v>
      </c>
      <c r="AF19" s="34">
        <v>121.331642</v>
      </c>
      <c r="AG19" s="34">
        <v>121.834694</v>
      </c>
      <c r="AH19" s="34">
        <v>122.323364</v>
      </c>
      <c r="AI19" s="35">
        <v>-3.5399999999999999E-4</v>
      </c>
      <c r="AJ19" s="36"/>
      <c r="AK19" s="37"/>
    </row>
    <row r="21" spans="1:37" ht="15" customHeight="1" x14ac:dyDescent="0.35">
      <c r="A21" s="25"/>
      <c r="B21" s="32" t="s">
        <v>406</v>
      </c>
      <c r="C21" s="25"/>
      <c r="D21" s="25"/>
      <c r="E21" s="25"/>
      <c r="F21" s="25"/>
      <c r="G21" s="25"/>
      <c r="H21" s="25"/>
      <c r="I21" s="25"/>
      <c r="J21" s="25"/>
      <c r="K21" s="25"/>
      <c r="L21" s="25"/>
      <c r="M21" s="25"/>
      <c r="N21" s="25"/>
      <c r="O21" s="25"/>
      <c r="P21" s="25"/>
      <c r="Q21" s="25"/>
      <c r="R21" s="25"/>
      <c r="S21" s="25"/>
      <c r="T21" s="25"/>
      <c r="U21" s="25"/>
      <c r="V21" s="25"/>
      <c r="W21" s="25"/>
      <c r="X21" s="25"/>
      <c r="Y21" s="25"/>
      <c r="Z21" s="25"/>
      <c r="AA21" s="25"/>
      <c r="AB21" s="25"/>
      <c r="AC21" s="25"/>
      <c r="AD21" s="25"/>
      <c r="AE21" s="25"/>
      <c r="AF21" s="25"/>
      <c r="AG21" s="25"/>
      <c r="AH21" s="25"/>
      <c r="AI21" s="25"/>
    </row>
    <row r="22" spans="1:37" ht="15" customHeight="1" x14ac:dyDescent="0.35">
      <c r="A22" s="29" t="s">
        <v>583</v>
      </c>
      <c r="B22" s="33" t="s">
        <v>399</v>
      </c>
      <c r="C22" s="34">
        <v>4.9433379999999998</v>
      </c>
      <c r="D22" s="34">
        <v>4.9238189999999999</v>
      </c>
      <c r="E22" s="34">
        <v>4.8773929999999996</v>
      </c>
      <c r="F22" s="34">
        <v>4.8067070000000003</v>
      </c>
      <c r="G22" s="34">
        <v>4.7116319999999998</v>
      </c>
      <c r="H22" s="34">
        <v>4.5941340000000004</v>
      </c>
      <c r="I22" s="34">
        <v>4.4537300000000002</v>
      </c>
      <c r="J22" s="34">
        <v>4.2905569999999997</v>
      </c>
      <c r="K22" s="34">
        <v>4.1035700000000004</v>
      </c>
      <c r="L22" s="34">
        <v>3.9016709999999999</v>
      </c>
      <c r="M22" s="34">
        <v>3.689381</v>
      </c>
      <c r="N22" s="34">
        <v>3.48089</v>
      </c>
      <c r="O22" s="34">
        <v>3.2854969999999999</v>
      </c>
      <c r="P22" s="34">
        <v>3.1050749999999998</v>
      </c>
      <c r="Q22" s="34">
        <v>2.9431240000000001</v>
      </c>
      <c r="R22" s="34">
        <v>2.807026</v>
      </c>
      <c r="S22" s="34">
        <v>2.6946150000000002</v>
      </c>
      <c r="T22" s="34">
        <v>2.6028920000000002</v>
      </c>
      <c r="U22" s="34">
        <v>2.537039</v>
      </c>
      <c r="V22" s="34">
        <v>2.4882610000000001</v>
      </c>
      <c r="W22" s="34">
        <v>2.4537589999999998</v>
      </c>
      <c r="X22" s="34">
        <v>2.431187</v>
      </c>
      <c r="Y22" s="34">
        <v>2.417151</v>
      </c>
      <c r="Z22" s="34">
        <v>2.4095409999999999</v>
      </c>
      <c r="AA22" s="34">
        <v>2.4052120000000001</v>
      </c>
      <c r="AB22" s="34">
        <v>2.40347</v>
      </c>
      <c r="AC22" s="34">
        <v>2.4041489999999999</v>
      </c>
      <c r="AD22" s="34">
        <v>2.4064779999999999</v>
      </c>
      <c r="AE22" s="34">
        <v>2.4103850000000002</v>
      </c>
      <c r="AF22" s="34">
        <v>2.4157359999999999</v>
      </c>
      <c r="AG22" s="34">
        <v>2.421878</v>
      </c>
      <c r="AH22" s="34">
        <v>2.4286340000000002</v>
      </c>
      <c r="AI22" s="35">
        <v>-2.2665000000000001E-2</v>
      </c>
      <c r="AJ22" s="36"/>
      <c r="AK22" s="37"/>
    </row>
    <row r="23" spans="1:37" ht="15" customHeight="1" x14ac:dyDescent="0.35">
      <c r="A23" s="29" t="s">
        <v>584</v>
      </c>
      <c r="B23" s="33" t="s">
        <v>398</v>
      </c>
      <c r="C23" s="34">
        <v>0.192992</v>
      </c>
      <c r="D23" s="34">
        <v>0.19708700000000001</v>
      </c>
      <c r="E23" s="34">
        <v>0.19858999999999999</v>
      </c>
      <c r="F23" s="34">
        <v>0.19902800000000001</v>
      </c>
      <c r="G23" s="34">
        <v>0.198494</v>
      </c>
      <c r="H23" s="34">
        <v>0.19683300000000001</v>
      </c>
      <c r="I23" s="34">
        <v>0.19409299999999999</v>
      </c>
      <c r="J23" s="34">
        <v>0.19003500000000001</v>
      </c>
      <c r="K23" s="34">
        <v>0.18439900000000001</v>
      </c>
      <c r="L23" s="34">
        <v>0.17732100000000001</v>
      </c>
      <c r="M23" s="34">
        <v>0.168845</v>
      </c>
      <c r="N23" s="34">
        <v>0.158772</v>
      </c>
      <c r="O23" s="34">
        <v>0.14826500000000001</v>
      </c>
      <c r="P23" s="34">
        <v>0.13773099999999999</v>
      </c>
      <c r="Q23" s="34">
        <v>0.128335</v>
      </c>
      <c r="R23" s="34">
        <v>0.120083</v>
      </c>
      <c r="S23" s="34">
        <v>0.113348</v>
      </c>
      <c r="T23" s="34">
        <v>0.107556</v>
      </c>
      <c r="U23" s="34">
        <v>0.10306899999999999</v>
      </c>
      <c r="V23" s="34">
        <v>0.100024</v>
      </c>
      <c r="W23" s="34">
        <v>9.8385E-2</v>
      </c>
      <c r="X23" s="34">
        <v>9.7933000000000006E-2</v>
      </c>
      <c r="Y23" s="34">
        <v>9.8310999999999996E-2</v>
      </c>
      <c r="Z23" s="34">
        <v>9.9261000000000002E-2</v>
      </c>
      <c r="AA23" s="34">
        <v>0.100498</v>
      </c>
      <c r="AB23" s="34">
        <v>0.10199800000000001</v>
      </c>
      <c r="AC23" s="34">
        <v>0.103684</v>
      </c>
      <c r="AD23" s="34">
        <v>0.105449</v>
      </c>
      <c r="AE23" s="34">
        <v>0.107289</v>
      </c>
      <c r="AF23" s="34">
        <v>0.109166</v>
      </c>
      <c r="AG23" s="34">
        <v>0.11103300000000001</v>
      </c>
      <c r="AH23" s="34">
        <v>0.11287700000000001</v>
      </c>
      <c r="AI23" s="35">
        <v>-1.7153000000000002E-2</v>
      </c>
      <c r="AJ23" s="36"/>
      <c r="AK23" s="37"/>
    </row>
    <row r="24" spans="1:37" ht="15" customHeight="1" x14ac:dyDescent="0.35">
      <c r="A24" s="29" t="s">
        <v>585</v>
      </c>
      <c r="B24" s="33" t="s">
        <v>397</v>
      </c>
      <c r="C24" s="34">
        <v>0.22231699999999999</v>
      </c>
      <c r="D24" s="34">
        <v>0.22716</v>
      </c>
      <c r="E24" s="34">
        <v>0.23386499999999999</v>
      </c>
      <c r="F24" s="34">
        <v>0.247194</v>
      </c>
      <c r="G24" s="34">
        <v>0.27880899999999997</v>
      </c>
      <c r="H24" s="34">
        <v>0.34924100000000002</v>
      </c>
      <c r="I24" s="34">
        <v>0.48963400000000001</v>
      </c>
      <c r="J24" s="34">
        <v>0.64554699999999998</v>
      </c>
      <c r="K24" s="34">
        <v>0.80790499999999998</v>
      </c>
      <c r="L24" s="34">
        <v>0.97586099999999998</v>
      </c>
      <c r="M24" s="34">
        <v>1.1518090000000001</v>
      </c>
      <c r="N24" s="34">
        <v>1.3356300000000001</v>
      </c>
      <c r="O24" s="34">
        <v>1.5317229999999999</v>
      </c>
      <c r="P24" s="34">
        <v>1.743403</v>
      </c>
      <c r="Q24" s="34">
        <v>1.9733210000000001</v>
      </c>
      <c r="R24" s="34">
        <v>2.2240150000000001</v>
      </c>
      <c r="S24" s="34">
        <v>2.4957470000000002</v>
      </c>
      <c r="T24" s="34">
        <v>2.7899690000000001</v>
      </c>
      <c r="U24" s="34">
        <v>3.10236</v>
      </c>
      <c r="V24" s="34">
        <v>3.4334570000000002</v>
      </c>
      <c r="W24" s="34">
        <v>3.781612</v>
      </c>
      <c r="X24" s="34">
        <v>4.1422369999999997</v>
      </c>
      <c r="Y24" s="34">
        <v>4.5041019999999996</v>
      </c>
      <c r="Z24" s="34">
        <v>4.8673640000000002</v>
      </c>
      <c r="AA24" s="34">
        <v>5.2300890000000004</v>
      </c>
      <c r="AB24" s="34">
        <v>5.5918900000000002</v>
      </c>
      <c r="AC24" s="34">
        <v>5.955673</v>
      </c>
      <c r="AD24" s="34">
        <v>6.3160590000000001</v>
      </c>
      <c r="AE24" s="34">
        <v>6.6793019999999999</v>
      </c>
      <c r="AF24" s="34">
        <v>7.0455379999999996</v>
      </c>
      <c r="AG24" s="34">
        <v>7.4123590000000004</v>
      </c>
      <c r="AH24" s="34">
        <v>7.7794850000000002</v>
      </c>
      <c r="AI24" s="35">
        <v>0.121517</v>
      </c>
      <c r="AJ24" s="36"/>
      <c r="AK24" s="37"/>
    </row>
    <row r="25" spans="1:37" ht="15" customHeight="1" x14ac:dyDescent="0.35">
      <c r="A25" s="29" t="s">
        <v>586</v>
      </c>
      <c r="B25" s="33" t="s">
        <v>544</v>
      </c>
      <c r="C25" s="34">
        <v>0.38929200000000003</v>
      </c>
      <c r="D25" s="34">
        <v>0.68365699999999996</v>
      </c>
      <c r="E25" s="34">
        <v>1.081833</v>
      </c>
      <c r="F25" s="34">
        <v>1.476415</v>
      </c>
      <c r="G25" s="34">
        <v>1.8683510000000001</v>
      </c>
      <c r="H25" s="34">
        <v>2.260005</v>
      </c>
      <c r="I25" s="34">
        <v>2.6280480000000002</v>
      </c>
      <c r="J25" s="34">
        <v>2.990739</v>
      </c>
      <c r="K25" s="34">
        <v>3.35866</v>
      </c>
      <c r="L25" s="34">
        <v>3.737927</v>
      </c>
      <c r="M25" s="34">
        <v>4.1316430000000004</v>
      </c>
      <c r="N25" s="34">
        <v>4.5498289999999999</v>
      </c>
      <c r="O25" s="34">
        <v>4.9945899999999996</v>
      </c>
      <c r="P25" s="34">
        <v>5.4578629999999997</v>
      </c>
      <c r="Q25" s="34">
        <v>5.9345439999999998</v>
      </c>
      <c r="R25" s="34">
        <v>6.421913</v>
      </c>
      <c r="S25" s="34">
        <v>6.9161239999999999</v>
      </c>
      <c r="T25" s="34">
        <v>7.4111279999999997</v>
      </c>
      <c r="U25" s="34">
        <v>7.9046779999999996</v>
      </c>
      <c r="V25" s="34">
        <v>8.3921510000000001</v>
      </c>
      <c r="W25" s="34">
        <v>8.8754399999999993</v>
      </c>
      <c r="X25" s="34">
        <v>9.3513979999999997</v>
      </c>
      <c r="Y25" s="34">
        <v>9.8205500000000008</v>
      </c>
      <c r="Z25" s="34">
        <v>10.286495</v>
      </c>
      <c r="AA25" s="34">
        <v>10.754676999999999</v>
      </c>
      <c r="AB25" s="34">
        <v>11.224081999999999</v>
      </c>
      <c r="AC25" s="34">
        <v>11.695354999999999</v>
      </c>
      <c r="AD25" s="34">
        <v>12.168191</v>
      </c>
      <c r="AE25" s="34">
        <v>12.636718</v>
      </c>
      <c r="AF25" s="34">
        <v>13.107799</v>
      </c>
      <c r="AG25" s="34">
        <v>13.575358</v>
      </c>
      <c r="AH25" s="34">
        <v>14.037774000000001</v>
      </c>
      <c r="AI25" s="35">
        <v>0.122604</v>
      </c>
      <c r="AJ25" s="36"/>
      <c r="AK25" s="37"/>
    </row>
    <row r="26" spans="1:37" ht="15" customHeight="1" x14ac:dyDescent="0.35">
      <c r="A26" s="29" t="s">
        <v>587</v>
      </c>
      <c r="B26" s="33" t="s">
        <v>396</v>
      </c>
      <c r="C26" s="34">
        <v>0.28012900000000002</v>
      </c>
      <c r="D26" s="34">
        <v>0.28154899999999999</v>
      </c>
      <c r="E26" s="34">
        <v>0.28227000000000002</v>
      </c>
      <c r="F26" s="34">
        <v>0.28212500000000001</v>
      </c>
      <c r="G26" s="34">
        <v>0.281142</v>
      </c>
      <c r="H26" s="34">
        <v>0.27940399999999999</v>
      </c>
      <c r="I26" s="34">
        <v>0.27685900000000002</v>
      </c>
      <c r="J26" s="34">
        <v>0.273393</v>
      </c>
      <c r="K26" s="34">
        <v>0.26856799999999997</v>
      </c>
      <c r="L26" s="34">
        <v>0.26205000000000001</v>
      </c>
      <c r="M26" s="34">
        <v>0.25334899999999999</v>
      </c>
      <c r="N26" s="34">
        <v>0.24282200000000001</v>
      </c>
      <c r="O26" s="34">
        <v>0.23072200000000001</v>
      </c>
      <c r="P26" s="34">
        <v>0.217361</v>
      </c>
      <c r="Q26" s="34">
        <v>0.203537</v>
      </c>
      <c r="R26" s="34">
        <v>0.190025</v>
      </c>
      <c r="S26" s="34">
        <v>0.17807100000000001</v>
      </c>
      <c r="T26" s="34">
        <v>0.168298</v>
      </c>
      <c r="U26" s="34">
        <v>0.160941</v>
      </c>
      <c r="V26" s="34">
        <v>0.15532000000000001</v>
      </c>
      <c r="W26" s="34">
        <v>0.15137400000000001</v>
      </c>
      <c r="X26" s="34">
        <v>0.14893899999999999</v>
      </c>
      <c r="Y26" s="34">
        <v>0.14785699999999999</v>
      </c>
      <c r="Z26" s="34">
        <v>0.14831</v>
      </c>
      <c r="AA26" s="34">
        <v>0.149508</v>
      </c>
      <c r="AB26" s="34">
        <v>0.15115600000000001</v>
      </c>
      <c r="AC26" s="34">
        <v>0.15310299999999999</v>
      </c>
      <c r="AD26" s="34">
        <v>0.15506500000000001</v>
      </c>
      <c r="AE26" s="34">
        <v>0.15703900000000001</v>
      </c>
      <c r="AF26" s="34">
        <v>0.159002</v>
      </c>
      <c r="AG26" s="34">
        <v>0.16090599999999999</v>
      </c>
      <c r="AH26" s="34">
        <v>0.16274</v>
      </c>
      <c r="AI26" s="35">
        <v>-1.7367E-2</v>
      </c>
      <c r="AJ26" s="36"/>
      <c r="AK26" s="37"/>
    </row>
    <row r="27" spans="1:37" ht="15" customHeight="1" x14ac:dyDescent="0.35">
      <c r="A27" s="29" t="s">
        <v>588</v>
      </c>
      <c r="B27" s="33" t="s">
        <v>395</v>
      </c>
      <c r="C27" s="34">
        <v>0.298844</v>
      </c>
      <c r="D27" s="34">
        <v>0.36282700000000001</v>
      </c>
      <c r="E27" s="34">
        <v>0.41599199999999997</v>
      </c>
      <c r="F27" s="34">
        <v>0.46013300000000001</v>
      </c>
      <c r="G27" s="34">
        <v>0.499778</v>
      </c>
      <c r="H27" s="34">
        <v>0.53559100000000004</v>
      </c>
      <c r="I27" s="34">
        <v>0.56212099999999998</v>
      </c>
      <c r="J27" s="34">
        <v>0.58790799999999999</v>
      </c>
      <c r="K27" s="34">
        <v>0.61414899999999994</v>
      </c>
      <c r="L27" s="34">
        <v>0.64156199999999997</v>
      </c>
      <c r="M27" s="34">
        <v>0.67046799999999995</v>
      </c>
      <c r="N27" s="34">
        <v>0.70343299999999997</v>
      </c>
      <c r="O27" s="34">
        <v>0.73711499999999996</v>
      </c>
      <c r="P27" s="34">
        <v>0.77016600000000002</v>
      </c>
      <c r="Q27" s="34">
        <v>0.80296599999999996</v>
      </c>
      <c r="R27" s="34">
        <v>0.83511899999999994</v>
      </c>
      <c r="S27" s="34">
        <v>0.86766100000000002</v>
      </c>
      <c r="T27" s="34">
        <v>0.90166599999999997</v>
      </c>
      <c r="U27" s="34">
        <v>0.93734899999999999</v>
      </c>
      <c r="V27" s="34">
        <v>0.97548900000000005</v>
      </c>
      <c r="W27" s="34">
        <v>1.0165249999999999</v>
      </c>
      <c r="X27" s="34">
        <v>1.059218</v>
      </c>
      <c r="Y27" s="34">
        <v>1.102973</v>
      </c>
      <c r="Z27" s="34">
        <v>1.1486149999999999</v>
      </c>
      <c r="AA27" s="34">
        <v>1.1949339999999999</v>
      </c>
      <c r="AB27" s="34">
        <v>1.241822</v>
      </c>
      <c r="AC27" s="34">
        <v>1.2892060000000001</v>
      </c>
      <c r="AD27" s="34">
        <v>1.335494</v>
      </c>
      <c r="AE27" s="34">
        <v>1.381613</v>
      </c>
      <c r="AF27" s="34">
        <v>1.426919</v>
      </c>
      <c r="AG27" s="34">
        <v>1.4708829999999999</v>
      </c>
      <c r="AH27" s="34">
        <v>1.513304</v>
      </c>
      <c r="AI27" s="35">
        <v>5.3719999999999997E-2</v>
      </c>
      <c r="AJ27" s="36"/>
      <c r="AK27" s="37"/>
    </row>
    <row r="28" spans="1:37" ht="15" customHeight="1" x14ac:dyDescent="0.35">
      <c r="A28" s="29" t="s">
        <v>589</v>
      </c>
      <c r="B28" s="33" t="s">
        <v>394</v>
      </c>
      <c r="C28" s="34">
        <v>0</v>
      </c>
      <c r="D28" s="34">
        <v>0</v>
      </c>
      <c r="E28" s="34">
        <v>0</v>
      </c>
      <c r="F28" s="34">
        <v>0</v>
      </c>
      <c r="G28" s="34">
        <v>0</v>
      </c>
      <c r="H28" s="34">
        <v>0</v>
      </c>
      <c r="I28" s="34">
        <v>0</v>
      </c>
      <c r="J28" s="34">
        <v>0</v>
      </c>
      <c r="K28" s="34">
        <v>0</v>
      </c>
      <c r="L28" s="34">
        <v>0</v>
      </c>
      <c r="M28" s="34">
        <v>0</v>
      </c>
      <c r="N28" s="34">
        <v>1.8810000000000001E-3</v>
      </c>
      <c r="O28" s="34">
        <v>1.2884E-2</v>
      </c>
      <c r="P28" s="34">
        <v>3.2982999999999998E-2</v>
      </c>
      <c r="Q28" s="34">
        <v>5.7556000000000003E-2</v>
      </c>
      <c r="R28" s="34">
        <v>8.4198999999999996E-2</v>
      </c>
      <c r="S28" s="34">
        <v>0.11174099999999999</v>
      </c>
      <c r="T28" s="34">
        <v>0.13961599999999999</v>
      </c>
      <c r="U28" s="34">
        <v>0.167578</v>
      </c>
      <c r="V28" s="34">
        <v>0.19550500000000001</v>
      </c>
      <c r="W28" s="34">
        <v>0.22353200000000001</v>
      </c>
      <c r="X28" s="34">
        <v>0.25176300000000001</v>
      </c>
      <c r="Y28" s="34">
        <v>0.27990900000000002</v>
      </c>
      <c r="Z28" s="34">
        <v>0.30769000000000002</v>
      </c>
      <c r="AA28" s="34">
        <v>0.33503699999999997</v>
      </c>
      <c r="AB28" s="34">
        <v>0.361595</v>
      </c>
      <c r="AC28" s="34">
        <v>0.38701000000000002</v>
      </c>
      <c r="AD28" s="34">
        <v>0.41109800000000002</v>
      </c>
      <c r="AE28" s="34">
        <v>0.43330400000000002</v>
      </c>
      <c r="AF28" s="34">
        <v>0.45367800000000003</v>
      </c>
      <c r="AG28" s="34">
        <v>0.47197699999999998</v>
      </c>
      <c r="AH28" s="34">
        <v>0.48831799999999997</v>
      </c>
      <c r="AI28" s="35" t="s">
        <v>12</v>
      </c>
      <c r="AJ28" s="36"/>
      <c r="AK28" s="37"/>
    </row>
    <row r="29" spans="1:37" ht="15" customHeight="1" x14ac:dyDescent="0.35">
      <c r="A29" s="29" t="s">
        <v>590</v>
      </c>
      <c r="B29" s="33" t="s">
        <v>393</v>
      </c>
      <c r="C29" s="34">
        <v>3.8116050000000001</v>
      </c>
      <c r="D29" s="34">
        <v>3.859083</v>
      </c>
      <c r="E29" s="34">
        <v>3.8836309999999998</v>
      </c>
      <c r="F29" s="34">
        <v>3.8868299999999998</v>
      </c>
      <c r="G29" s="34">
        <v>3.8804989999999999</v>
      </c>
      <c r="H29" s="34">
        <v>3.8661729999999999</v>
      </c>
      <c r="I29" s="34">
        <v>3.8355060000000001</v>
      </c>
      <c r="J29" s="34">
        <v>3.7977789999999998</v>
      </c>
      <c r="K29" s="34">
        <v>3.7540339999999999</v>
      </c>
      <c r="L29" s="34">
        <v>3.7064189999999999</v>
      </c>
      <c r="M29" s="34">
        <v>3.6587619999999998</v>
      </c>
      <c r="N29" s="34">
        <v>3.6184479999999999</v>
      </c>
      <c r="O29" s="34">
        <v>3.582125</v>
      </c>
      <c r="P29" s="34">
        <v>3.5528170000000001</v>
      </c>
      <c r="Q29" s="34">
        <v>3.5372810000000001</v>
      </c>
      <c r="R29" s="34">
        <v>3.5348540000000002</v>
      </c>
      <c r="S29" s="34">
        <v>3.549188</v>
      </c>
      <c r="T29" s="34">
        <v>3.5789360000000001</v>
      </c>
      <c r="U29" s="34">
        <v>3.622379</v>
      </c>
      <c r="V29" s="34">
        <v>3.677235</v>
      </c>
      <c r="W29" s="34">
        <v>3.7408709999999998</v>
      </c>
      <c r="X29" s="34">
        <v>3.8106900000000001</v>
      </c>
      <c r="Y29" s="34">
        <v>3.8845179999999999</v>
      </c>
      <c r="Z29" s="34">
        <v>3.9613049999999999</v>
      </c>
      <c r="AA29" s="34">
        <v>4.0373700000000001</v>
      </c>
      <c r="AB29" s="34">
        <v>4.1115839999999997</v>
      </c>
      <c r="AC29" s="34">
        <v>4.1843630000000003</v>
      </c>
      <c r="AD29" s="34">
        <v>4.2539559999999996</v>
      </c>
      <c r="AE29" s="34">
        <v>4.3217759999999998</v>
      </c>
      <c r="AF29" s="34">
        <v>4.3875190000000002</v>
      </c>
      <c r="AG29" s="34">
        <v>4.4501730000000004</v>
      </c>
      <c r="AH29" s="34">
        <v>4.5097630000000004</v>
      </c>
      <c r="AI29" s="35">
        <v>5.4400000000000004E-3</v>
      </c>
      <c r="AJ29" s="36"/>
      <c r="AK29" s="37"/>
    </row>
    <row r="30" spans="1:37" ht="15" customHeight="1" x14ac:dyDescent="0.35">
      <c r="A30" s="29" t="s">
        <v>591</v>
      </c>
      <c r="B30" s="33" t="s">
        <v>392</v>
      </c>
      <c r="C30" s="34">
        <v>1.9120999999999999E-2</v>
      </c>
      <c r="D30" s="34">
        <v>1.7347000000000001E-2</v>
      </c>
      <c r="E30" s="34">
        <v>1.6393999999999999E-2</v>
      </c>
      <c r="F30" s="34">
        <v>1.5558000000000001E-2</v>
      </c>
      <c r="G30" s="34">
        <v>1.4829E-2</v>
      </c>
      <c r="H30" s="34">
        <v>1.417E-2</v>
      </c>
      <c r="I30" s="34">
        <v>1.3566E-2</v>
      </c>
      <c r="J30" s="34">
        <v>1.3062000000000001E-2</v>
      </c>
      <c r="K30" s="34">
        <v>1.2612E-2</v>
      </c>
      <c r="L30" s="34">
        <v>1.2227999999999999E-2</v>
      </c>
      <c r="M30" s="34">
        <v>1.1908E-2</v>
      </c>
      <c r="N30" s="34">
        <v>1.1658E-2</v>
      </c>
      <c r="O30" s="34">
        <v>1.1488999999999999E-2</v>
      </c>
      <c r="P30" s="34">
        <v>1.1365E-2</v>
      </c>
      <c r="Q30" s="34">
        <v>1.1294E-2</v>
      </c>
      <c r="R30" s="34">
        <v>1.1282E-2</v>
      </c>
      <c r="S30" s="34">
        <v>1.1313E-2</v>
      </c>
      <c r="T30" s="34">
        <v>1.1377999999999999E-2</v>
      </c>
      <c r="U30" s="34">
        <v>1.1431E-2</v>
      </c>
      <c r="V30" s="34">
        <v>1.1501000000000001E-2</v>
      </c>
      <c r="W30" s="34">
        <v>1.1580999999999999E-2</v>
      </c>
      <c r="X30" s="34">
        <v>1.1665999999999999E-2</v>
      </c>
      <c r="Y30" s="34">
        <v>1.1795999999999999E-2</v>
      </c>
      <c r="Z30" s="34">
        <v>1.1886000000000001E-2</v>
      </c>
      <c r="AA30" s="34">
        <v>1.2037000000000001E-2</v>
      </c>
      <c r="AB30" s="34">
        <v>1.2189E-2</v>
      </c>
      <c r="AC30" s="34">
        <v>1.2342000000000001E-2</v>
      </c>
      <c r="AD30" s="34">
        <v>1.2496999999999999E-2</v>
      </c>
      <c r="AE30" s="34">
        <v>1.2651000000000001E-2</v>
      </c>
      <c r="AF30" s="34">
        <v>1.2812E-2</v>
      </c>
      <c r="AG30" s="34">
        <v>1.2975E-2</v>
      </c>
      <c r="AH30" s="34">
        <v>1.3140000000000001E-2</v>
      </c>
      <c r="AI30" s="35">
        <v>-1.2026E-2</v>
      </c>
      <c r="AJ30" s="36"/>
      <c r="AK30" s="37"/>
    </row>
    <row r="31" spans="1:37" ht="15" customHeight="1" x14ac:dyDescent="0.35">
      <c r="A31" s="29" t="s">
        <v>592</v>
      </c>
      <c r="B31" s="33" t="s">
        <v>391</v>
      </c>
      <c r="C31" s="34">
        <v>4.5634000000000001E-2</v>
      </c>
      <c r="D31" s="34">
        <v>4.4181999999999999E-2</v>
      </c>
      <c r="E31" s="34">
        <v>4.2873000000000001E-2</v>
      </c>
      <c r="F31" s="34">
        <v>4.1647000000000003E-2</v>
      </c>
      <c r="G31" s="34">
        <v>4.0507000000000001E-2</v>
      </c>
      <c r="H31" s="34">
        <v>3.9312E-2</v>
      </c>
      <c r="I31" s="34">
        <v>3.8039999999999997E-2</v>
      </c>
      <c r="J31" s="34">
        <v>3.6778999999999999E-2</v>
      </c>
      <c r="K31" s="34">
        <v>3.5555999999999997E-2</v>
      </c>
      <c r="L31" s="34">
        <v>3.4443000000000001E-2</v>
      </c>
      <c r="M31" s="34">
        <v>3.3499000000000001E-2</v>
      </c>
      <c r="N31" s="34">
        <v>3.2729000000000001E-2</v>
      </c>
      <c r="O31" s="34">
        <v>3.2132000000000001E-2</v>
      </c>
      <c r="P31" s="34">
        <v>3.1655999999999997E-2</v>
      </c>
      <c r="Q31" s="34">
        <v>3.1341000000000001E-2</v>
      </c>
      <c r="R31" s="34">
        <v>3.1182000000000001E-2</v>
      </c>
      <c r="S31" s="34">
        <v>3.1119999999999998E-2</v>
      </c>
      <c r="T31" s="34">
        <v>3.1134999999999999E-2</v>
      </c>
      <c r="U31" s="34">
        <v>3.1153E-2</v>
      </c>
      <c r="V31" s="34">
        <v>3.1209000000000001E-2</v>
      </c>
      <c r="W31" s="34">
        <v>3.1319E-2</v>
      </c>
      <c r="X31" s="34">
        <v>3.1456999999999999E-2</v>
      </c>
      <c r="Y31" s="34">
        <v>3.1711999999999997E-2</v>
      </c>
      <c r="Z31" s="34">
        <v>3.2018999999999999E-2</v>
      </c>
      <c r="AA31" s="34">
        <v>3.2342000000000003E-2</v>
      </c>
      <c r="AB31" s="34">
        <v>3.2680000000000001E-2</v>
      </c>
      <c r="AC31" s="34">
        <v>3.3034000000000001E-2</v>
      </c>
      <c r="AD31" s="34">
        <v>3.3389000000000002E-2</v>
      </c>
      <c r="AE31" s="34">
        <v>3.3746999999999999E-2</v>
      </c>
      <c r="AF31" s="34">
        <v>3.4112999999999997E-2</v>
      </c>
      <c r="AG31" s="34">
        <v>3.4470000000000001E-2</v>
      </c>
      <c r="AH31" s="34">
        <v>3.4820999999999998E-2</v>
      </c>
      <c r="AI31" s="35">
        <v>-8.685E-3</v>
      </c>
      <c r="AJ31" s="36"/>
      <c r="AK31" s="37"/>
    </row>
    <row r="32" spans="1:37" ht="15" customHeight="1" x14ac:dyDescent="0.35">
      <c r="A32" s="29" t="s">
        <v>593</v>
      </c>
      <c r="B32" s="33" t="s">
        <v>390</v>
      </c>
      <c r="C32" s="34">
        <v>4.666E-3</v>
      </c>
      <c r="D32" s="34">
        <v>4.81E-3</v>
      </c>
      <c r="E32" s="34">
        <v>4.9560000000000003E-3</v>
      </c>
      <c r="F32" s="34">
        <v>5.0829999999999998E-3</v>
      </c>
      <c r="G32" s="34">
        <v>5.2160000000000002E-3</v>
      </c>
      <c r="H32" s="34">
        <v>5.3470000000000002E-3</v>
      </c>
      <c r="I32" s="34">
        <v>5.4730000000000004E-3</v>
      </c>
      <c r="J32" s="34">
        <v>5.6039999999999996E-3</v>
      </c>
      <c r="K32" s="34">
        <v>5.7419999999999997E-3</v>
      </c>
      <c r="L32" s="34">
        <v>5.8830000000000002E-3</v>
      </c>
      <c r="M32" s="34">
        <v>6.0260000000000001E-3</v>
      </c>
      <c r="N32" s="34">
        <v>6.169E-3</v>
      </c>
      <c r="O32" s="34">
        <v>6.3150000000000003E-3</v>
      </c>
      <c r="P32" s="34">
        <v>6.4510000000000001E-3</v>
      </c>
      <c r="Q32" s="34">
        <v>6.5830000000000003E-3</v>
      </c>
      <c r="R32" s="34">
        <v>6.711E-3</v>
      </c>
      <c r="S32" s="34">
        <v>6.8329999999999997E-3</v>
      </c>
      <c r="T32" s="34">
        <v>6.9509999999999997E-3</v>
      </c>
      <c r="U32" s="34">
        <v>7.0670000000000004E-3</v>
      </c>
      <c r="V32" s="34">
        <v>7.1809999999999999E-3</v>
      </c>
      <c r="W32" s="34">
        <v>7.2979999999999998E-3</v>
      </c>
      <c r="X32" s="34">
        <v>7.4200000000000004E-3</v>
      </c>
      <c r="Y32" s="34">
        <v>7.5110000000000003E-3</v>
      </c>
      <c r="Z32" s="34">
        <v>7.6410000000000002E-3</v>
      </c>
      <c r="AA32" s="34">
        <v>7.7840000000000001E-3</v>
      </c>
      <c r="AB32" s="34">
        <v>7.9369999999999996E-3</v>
      </c>
      <c r="AC32" s="34">
        <v>8.0979999999999993E-3</v>
      </c>
      <c r="AD32" s="34">
        <v>8.2649999999999998E-3</v>
      </c>
      <c r="AE32" s="34">
        <v>8.4340000000000005E-3</v>
      </c>
      <c r="AF32" s="34">
        <v>8.6099999999999996E-3</v>
      </c>
      <c r="AG32" s="34">
        <v>8.7889999999999999E-3</v>
      </c>
      <c r="AH32" s="34">
        <v>8.9720000000000008E-3</v>
      </c>
      <c r="AI32" s="35">
        <v>2.1309999999999999E-2</v>
      </c>
      <c r="AJ32" s="36"/>
      <c r="AK32" s="37"/>
    </row>
    <row r="33" spans="1:37" ht="15" customHeight="1" x14ac:dyDescent="0.35">
      <c r="A33" s="29" t="s">
        <v>594</v>
      </c>
      <c r="B33" s="33" t="s">
        <v>389</v>
      </c>
      <c r="C33" s="34">
        <v>8.4449999999999994E-3</v>
      </c>
      <c r="D33" s="34">
        <v>8.4010000000000005E-3</v>
      </c>
      <c r="E33" s="34">
        <v>8.3960000000000007E-3</v>
      </c>
      <c r="F33" s="34">
        <v>8.3829999999999998E-3</v>
      </c>
      <c r="G33" s="34">
        <v>8.3850000000000001E-3</v>
      </c>
      <c r="H33" s="34">
        <v>8.3899999999999999E-3</v>
      </c>
      <c r="I33" s="34">
        <v>8.3979999999999992E-3</v>
      </c>
      <c r="J33" s="34">
        <v>8.4130000000000003E-3</v>
      </c>
      <c r="K33" s="34">
        <v>8.4379999999999993E-3</v>
      </c>
      <c r="L33" s="34">
        <v>8.4670000000000006E-3</v>
      </c>
      <c r="M33" s="34">
        <v>8.5050000000000004E-3</v>
      </c>
      <c r="N33" s="34">
        <v>8.5489999999999993E-3</v>
      </c>
      <c r="O33" s="34">
        <v>8.5950000000000002E-3</v>
      </c>
      <c r="P33" s="34">
        <v>8.6390000000000008E-3</v>
      </c>
      <c r="Q33" s="34">
        <v>8.6949999999999996E-3</v>
      </c>
      <c r="R33" s="34">
        <v>8.7620000000000007E-3</v>
      </c>
      <c r="S33" s="34">
        <v>8.8310000000000003E-3</v>
      </c>
      <c r="T33" s="34">
        <v>8.9020000000000002E-3</v>
      </c>
      <c r="U33" s="34">
        <v>8.9700000000000005E-3</v>
      </c>
      <c r="V33" s="34">
        <v>9.0369999999999999E-3</v>
      </c>
      <c r="W33" s="34">
        <v>9.1090000000000008E-3</v>
      </c>
      <c r="X33" s="34">
        <v>9.1859999999999997E-3</v>
      </c>
      <c r="Y33" s="34">
        <v>9.1970000000000003E-3</v>
      </c>
      <c r="Z33" s="34">
        <v>9.2739999999999993E-3</v>
      </c>
      <c r="AA33" s="34">
        <v>9.3640000000000008E-3</v>
      </c>
      <c r="AB33" s="34">
        <v>9.4590000000000004E-3</v>
      </c>
      <c r="AC33" s="34">
        <v>9.5589999999999998E-3</v>
      </c>
      <c r="AD33" s="34">
        <v>9.6579999999999999E-3</v>
      </c>
      <c r="AE33" s="34">
        <v>9.7579999999999993E-3</v>
      </c>
      <c r="AF33" s="34">
        <v>9.8580000000000004E-3</v>
      </c>
      <c r="AG33" s="34">
        <v>9.9550000000000003E-3</v>
      </c>
      <c r="AH33" s="34">
        <v>1.0049000000000001E-2</v>
      </c>
      <c r="AI33" s="35">
        <v>5.6249999999999998E-3</v>
      </c>
      <c r="AJ33" s="36"/>
      <c r="AK33" s="37"/>
    </row>
    <row r="34" spans="1:37" ht="15" customHeight="1" x14ac:dyDescent="0.35">
      <c r="A34" s="29" t="s">
        <v>595</v>
      </c>
      <c r="B34" s="33" t="s">
        <v>388</v>
      </c>
      <c r="C34" s="34">
        <v>0</v>
      </c>
      <c r="D34" s="34">
        <v>0</v>
      </c>
      <c r="E34" s="34">
        <v>0</v>
      </c>
      <c r="F34" s="34">
        <v>0</v>
      </c>
      <c r="G34" s="34">
        <v>0</v>
      </c>
      <c r="H34" s="34">
        <v>0</v>
      </c>
      <c r="I34" s="34">
        <v>0</v>
      </c>
      <c r="J34" s="34">
        <v>0</v>
      </c>
      <c r="K34" s="34">
        <v>0</v>
      </c>
      <c r="L34" s="34">
        <v>0</v>
      </c>
      <c r="M34" s="34">
        <v>0</v>
      </c>
      <c r="N34" s="34">
        <v>0</v>
      </c>
      <c r="O34" s="34">
        <v>0</v>
      </c>
      <c r="P34" s="34">
        <v>0</v>
      </c>
      <c r="Q34" s="34">
        <v>0</v>
      </c>
      <c r="R34" s="34">
        <v>0</v>
      </c>
      <c r="S34" s="34">
        <v>0</v>
      </c>
      <c r="T34" s="34">
        <v>0</v>
      </c>
      <c r="U34" s="34">
        <v>0</v>
      </c>
      <c r="V34" s="34">
        <v>0</v>
      </c>
      <c r="W34" s="34">
        <v>0</v>
      </c>
      <c r="X34" s="34">
        <v>0</v>
      </c>
      <c r="Y34" s="34">
        <v>0</v>
      </c>
      <c r="Z34" s="34">
        <v>0</v>
      </c>
      <c r="AA34" s="34">
        <v>0</v>
      </c>
      <c r="AB34" s="34">
        <v>0</v>
      </c>
      <c r="AC34" s="34">
        <v>0</v>
      </c>
      <c r="AD34" s="34">
        <v>0</v>
      </c>
      <c r="AE34" s="34">
        <v>0</v>
      </c>
      <c r="AF34" s="34">
        <v>0</v>
      </c>
      <c r="AG34" s="34">
        <v>0</v>
      </c>
      <c r="AH34" s="34">
        <v>0</v>
      </c>
      <c r="AI34" s="35" t="s">
        <v>12</v>
      </c>
      <c r="AJ34" s="36"/>
      <c r="AK34" s="37"/>
    </row>
    <row r="35" spans="1:37" ht="15" customHeight="1" x14ac:dyDescent="0.35">
      <c r="A35" s="29" t="s">
        <v>596</v>
      </c>
      <c r="B35" s="33" t="s">
        <v>387</v>
      </c>
      <c r="C35" s="34">
        <v>6.4460000000000003E-3</v>
      </c>
      <c r="D35" s="34">
        <v>7.2189999999999997E-3</v>
      </c>
      <c r="E35" s="34">
        <v>7.6160000000000004E-3</v>
      </c>
      <c r="F35" s="34">
        <v>7.8930000000000007E-3</v>
      </c>
      <c r="G35" s="34">
        <v>8.1449999999999995E-3</v>
      </c>
      <c r="H35" s="34">
        <v>8.3909999999999992E-3</v>
      </c>
      <c r="I35" s="34">
        <v>8.6689999999999996E-3</v>
      </c>
      <c r="J35" s="34">
        <v>8.9859999999999992E-3</v>
      </c>
      <c r="K35" s="34">
        <v>9.3489999999999997E-3</v>
      </c>
      <c r="L35" s="34">
        <v>9.757E-3</v>
      </c>
      <c r="M35" s="34">
        <v>1.0205000000000001E-2</v>
      </c>
      <c r="N35" s="34">
        <v>1.069E-2</v>
      </c>
      <c r="O35" s="34">
        <v>1.1183E-2</v>
      </c>
      <c r="P35" s="34">
        <v>1.167E-2</v>
      </c>
      <c r="Q35" s="34">
        <v>1.2154E-2</v>
      </c>
      <c r="R35" s="34">
        <v>1.2643E-2</v>
      </c>
      <c r="S35" s="34">
        <v>1.3188E-2</v>
      </c>
      <c r="T35" s="34">
        <v>1.3809999999999999E-2</v>
      </c>
      <c r="U35" s="34">
        <v>1.4520999999999999E-2</v>
      </c>
      <c r="V35" s="34">
        <v>1.5308E-2</v>
      </c>
      <c r="W35" s="34">
        <v>1.6171999999999999E-2</v>
      </c>
      <c r="X35" s="34">
        <v>1.7087000000000001E-2</v>
      </c>
      <c r="Y35" s="34">
        <v>1.806E-2</v>
      </c>
      <c r="Z35" s="34">
        <v>1.9102000000000001E-2</v>
      </c>
      <c r="AA35" s="34">
        <v>2.0195000000000001E-2</v>
      </c>
      <c r="AB35" s="34">
        <v>2.1333000000000001E-2</v>
      </c>
      <c r="AC35" s="34">
        <v>2.2498000000000001E-2</v>
      </c>
      <c r="AD35" s="34">
        <v>2.368E-2</v>
      </c>
      <c r="AE35" s="34">
        <v>2.4874E-2</v>
      </c>
      <c r="AF35" s="34">
        <v>2.6086999999999999E-2</v>
      </c>
      <c r="AG35" s="34">
        <v>2.7310000000000001E-2</v>
      </c>
      <c r="AH35" s="34">
        <v>2.8545999999999998E-2</v>
      </c>
      <c r="AI35" s="35">
        <v>4.9174000000000002E-2</v>
      </c>
      <c r="AJ35" s="36"/>
      <c r="AK35" s="37"/>
    </row>
    <row r="36" spans="1:37" ht="15" customHeight="1" x14ac:dyDescent="0.35">
      <c r="A36" s="29" t="s">
        <v>597</v>
      </c>
      <c r="B36" s="33" t="s">
        <v>405</v>
      </c>
      <c r="C36" s="34">
        <v>10.222829000000001</v>
      </c>
      <c r="D36" s="34">
        <v>10.617143</v>
      </c>
      <c r="E36" s="34">
        <v>11.053807000000001</v>
      </c>
      <c r="F36" s="34">
        <v>11.436996000000001</v>
      </c>
      <c r="G36" s="34">
        <v>11.795788999999999</v>
      </c>
      <c r="H36" s="34">
        <v>12.156991</v>
      </c>
      <c r="I36" s="34">
        <v>12.514138000000001</v>
      </c>
      <c r="J36" s="34">
        <v>12.848801999999999</v>
      </c>
      <c r="K36" s="34">
        <v>13.162982</v>
      </c>
      <c r="L36" s="34">
        <v>13.473589</v>
      </c>
      <c r="M36" s="34">
        <v>13.794402</v>
      </c>
      <c r="N36" s="34">
        <v>14.1615</v>
      </c>
      <c r="O36" s="34">
        <v>14.592632999999999</v>
      </c>
      <c r="P36" s="34">
        <v>15.08718</v>
      </c>
      <c r="Q36" s="34">
        <v>15.650729</v>
      </c>
      <c r="R36" s="34">
        <v>16.287814999999998</v>
      </c>
      <c r="S36" s="34">
        <v>16.997779999999999</v>
      </c>
      <c r="T36" s="34">
        <v>17.772234000000001</v>
      </c>
      <c r="U36" s="34">
        <v>18.608532</v>
      </c>
      <c r="V36" s="34">
        <v>19.491678</v>
      </c>
      <c r="W36" s="34">
        <v>20.416979000000001</v>
      </c>
      <c r="X36" s="34">
        <v>21.370183999999998</v>
      </c>
      <c r="Y36" s="34">
        <v>22.333646999999999</v>
      </c>
      <c r="Z36" s="34">
        <v>23.308502000000001</v>
      </c>
      <c r="AA36" s="34">
        <v>24.289047</v>
      </c>
      <c r="AB36" s="34">
        <v>25.271196</v>
      </c>
      <c r="AC36" s="34">
        <v>26.258075999999999</v>
      </c>
      <c r="AD36" s="34">
        <v>27.239279</v>
      </c>
      <c r="AE36" s="34">
        <v>28.216889999999999</v>
      </c>
      <c r="AF36" s="34">
        <v>29.196836000000001</v>
      </c>
      <c r="AG36" s="34">
        <v>30.168068000000002</v>
      </c>
      <c r="AH36" s="34">
        <v>31.128422</v>
      </c>
      <c r="AI36" s="35">
        <v>3.6572E-2</v>
      </c>
      <c r="AJ36" s="36"/>
      <c r="AK36" s="37"/>
    </row>
    <row r="38" spans="1:37" ht="15" customHeight="1" x14ac:dyDescent="0.35">
      <c r="A38" s="29" t="s">
        <v>598</v>
      </c>
      <c r="B38" s="32" t="s">
        <v>599</v>
      </c>
      <c r="C38" s="38">
        <v>133.895386</v>
      </c>
      <c r="D38" s="38">
        <v>134.05827300000001</v>
      </c>
      <c r="E38" s="38">
        <v>134.04151899999999</v>
      </c>
      <c r="F38" s="38">
        <v>133.89660599999999</v>
      </c>
      <c r="G38" s="38">
        <v>133.79484600000001</v>
      </c>
      <c r="H38" s="38">
        <v>133.727722</v>
      </c>
      <c r="I38" s="38">
        <v>133.74580399999999</v>
      </c>
      <c r="J38" s="38">
        <v>133.752319</v>
      </c>
      <c r="K38" s="38">
        <v>133.765961</v>
      </c>
      <c r="L38" s="38">
        <v>133.72644</v>
      </c>
      <c r="M38" s="38">
        <v>133.65621899999999</v>
      </c>
      <c r="N38" s="38">
        <v>133.62037699999999</v>
      </c>
      <c r="O38" s="38">
        <v>133.60363799999999</v>
      </c>
      <c r="P38" s="38">
        <v>133.63992300000001</v>
      </c>
      <c r="Q38" s="38">
        <v>133.77722199999999</v>
      </c>
      <c r="R38" s="38">
        <v>134.04431199999999</v>
      </c>
      <c r="S38" s="38">
        <v>134.46835300000001</v>
      </c>
      <c r="T38" s="38">
        <v>135.06904599999999</v>
      </c>
      <c r="U38" s="38">
        <v>135.82818599999999</v>
      </c>
      <c r="V38" s="38">
        <v>136.762787</v>
      </c>
      <c r="W38" s="38">
        <v>137.85112000000001</v>
      </c>
      <c r="X38" s="38">
        <v>139.04624899999999</v>
      </c>
      <c r="Y38" s="38">
        <v>140.329498</v>
      </c>
      <c r="Z38" s="38">
        <v>141.702606</v>
      </c>
      <c r="AA38" s="38">
        <v>143.11325099999999</v>
      </c>
      <c r="AB38" s="38">
        <v>144.55834999999999</v>
      </c>
      <c r="AC38" s="38">
        <v>146.044815</v>
      </c>
      <c r="AD38" s="38">
        <v>147.532791</v>
      </c>
      <c r="AE38" s="38">
        <v>149.027039</v>
      </c>
      <c r="AF38" s="38">
        <v>150.52847299999999</v>
      </c>
      <c r="AG38" s="38">
        <v>152.00276199999999</v>
      </c>
      <c r="AH38" s="38">
        <v>153.45178200000001</v>
      </c>
      <c r="AI38" s="39">
        <v>4.4070000000000003E-3</v>
      </c>
      <c r="AJ38" s="36"/>
      <c r="AK38" s="37"/>
    </row>
    <row r="39" spans="1:37" ht="15" customHeight="1" x14ac:dyDescent="0.35">
      <c r="A39" s="19"/>
      <c r="B39" s="32"/>
      <c r="C39" s="40"/>
      <c r="D39" s="40"/>
      <c r="E39" s="40"/>
      <c r="F39" s="40"/>
      <c r="G39" s="40"/>
      <c r="H39" s="40"/>
      <c r="I39" s="40"/>
      <c r="J39" s="40"/>
      <c r="K39" s="40"/>
      <c r="L39" s="40"/>
      <c r="M39" s="40"/>
      <c r="N39" s="40"/>
      <c r="O39" s="40"/>
      <c r="P39" s="40"/>
      <c r="Q39" s="40"/>
      <c r="R39" s="40"/>
      <c r="S39" s="40"/>
      <c r="T39" s="40"/>
      <c r="U39" s="40"/>
      <c r="V39" s="40"/>
      <c r="W39" s="40"/>
      <c r="X39" s="40"/>
      <c r="Y39" s="40"/>
      <c r="Z39" s="40"/>
      <c r="AA39" s="40"/>
      <c r="AB39" s="40"/>
      <c r="AC39" s="40"/>
      <c r="AD39" s="40"/>
      <c r="AE39" s="40"/>
      <c r="AF39" s="40"/>
      <c r="AG39" s="40"/>
      <c r="AH39" s="40"/>
      <c r="AI39" s="40"/>
      <c r="AJ39" s="40"/>
      <c r="AK39" s="39"/>
    </row>
    <row r="40" spans="1:37" ht="15" customHeight="1" x14ac:dyDescent="0.35">
      <c r="A40" s="25"/>
      <c r="B40" s="32" t="s">
        <v>600</v>
      </c>
      <c r="C40" s="25"/>
      <c r="D40" s="25"/>
      <c r="E40" s="25"/>
      <c r="F40" s="25"/>
      <c r="G40" s="25"/>
      <c r="H40" s="25"/>
      <c r="I40" s="25"/>
      <c r="J40" s="25"/>
      <c r="K40" s="25"/>
      <c r="L40" s="25"/>
      <c r="M40" s="25"/>
      <c r="N40" s="25"/>
      <c r="O40" s="25"/>
      <c r="P40" s="25"/>
      <c r="Q40" s="25"/>
      <c r="R40" s="25"/>
      <c r="S40" s="25"/>
      <c r="T40" s="25"/>
      <c r="U40" s="25"/>
      <c r="V40" s="25"/>
      <c r="W40" s="25"/>
      <c r="X40" s="25"/>
      <c r="Y40" s="25"/>
      <c r="Z40" s="25"/>
      <c r="AA40" s="25"/>
      <c r="AB40" s="25"/>
      <c r="AC40" s="25"/>
      <c r="AD40" s="25"/>
      <c r="AE40" s="25"/>
      <c r="AF40" s="25"/>
      <c r="AG40" s="25"/>
      <c r="AH40" s="25"/>
      <c r="AI40" s="25"/>
    </row>
    <row r="41" spans="1:37" ht="15" customHeight="1" x14ac:dyDescent="0.35">
      <c r="A41" s="25"/>
      <c r="B41" s="32" t="s">
        <v>404</v>
      </c>
      <c r="C41" s="25"/>
      <c r="D41" s="25"/>
      <c r="E41" s="25"/>
      <c r="F41" s="25"/>
      <c r="G41" s="25"/>
      <c r="H41" s="25"/>
      <c r="I41" s="25"/>
      <c r="J41" s="25"/>
      <c r="K41" s="25"/>
      <c r="L41" s="25"/>
      <c r="M41" s="25"/>
      <c r="N41" s="25"/>
      <c r="O41" s="25"/>
      <c r="P41" s="25"/>
      <c r="Q41" s="25"/>
      <c r="R41" s="25"/>
      <c r="S41" s="25"/>
      <c r="T41" s="25"/>
      <c r="U41" s="25"/>
      <c r="V41" s="25"/>
      <c r="W41" s="25"/>
      <c r="X41" s="25"/>
      <c r="Y41" s="25"/>
      <c r="Z41" s="25"/>
      <c r="AA41" s="25"/>
      <c r="AB41" s="25"/>
      <c r="AC41" s="25"/>
      <c r="AD41" s="25"/>
      <c r="AE41" s="25"/>
      <c r="AF41" s="25"/>
      <c r="AG41" s="25"/>
      <c r="AH41" s="25"/>
      <c r="AI41" s="25"/>
    </row>
    <row r="42" spans="1:37" ht="15" customHeight="1" x14ac:dyDescent="0.35">
      <c r="A42" s="29" t="s">
        <v>601</v>
      </c>
      <c r="B42" s="33" t="s">
        <v>403</v>
      </c>
      <c r="C42" s="34">
        <v>106.130341</v>
      </c>
      <c r="D42" s="34">
        <v>107.117836</v>
      </c>
      <c r="E42" s="34">
        <v>108.288231</v>
      </c>
      <c r="F42" s="34">
        <v>109.593132</v>
      </c>
      <c r="G42" s="34">
        <v>111.108971</v>
      </c>
      <c r="H42" s="34">
        <v>112.79714199999999</v>
      </c>
      <c r="I42" s="34">
        <v>114.501457</v>
      </c>
      <c r="J42" s="34">
        <v>116.14720199999999</v>
      </c>
      <c r="K42" s="34">
        <v>117.66289500000001</v>
      </c>
      <c r="L42" s="34">
        <v>119.02029400000001</v>
      </c>
      <c r="M42" s="34">
        <v>120.18047300000001</v>
      </c>
      <c r="N42" s="34">
        <v>121.083443</v>
      </c>
      <c r="O42" s="34">
        <v>121.77430699999999</v>
      </c>
      <c r="P42" s="34">
        <v>122.263672</v>
      </c>
      <c r="Q42" s="34">
        <v>122.52568100000001</v>
      </c>
      <c r="R42" s="34">
        <v>122.548401</v>
      </c>
      <c r="S42" s="34">
        <v>122.365128</v>
      </c>
      <c r="T42" s="34">
        <v>122.018181</v>
      </c>
      <c r="U42" s="34">
        <v>121.54975899999999</v>
      </c>
      <c r="V42" s="34">
        <v>120.98556499999999</v>
      </c>
      <c r="W42" s="34">
        <v>120.33566999999999</v>
      </c>
      <c r="X42" s="34">
        <v>119.630692</v>
      </c>
      <c r="Y42" s="34">
        <v>118.91525300000001</v>
      </c>
      <c r="Z42" s="34">
        <v>118.181015</v>
      </c>
      <c r="AA42" s="34">
        <v>117.43291499999999</v>
      </c>
      <c r="AB42" s="34">
        <v>116.70893100000001</v>
      </c>
      <c r="AC42" s="34">
        <v>116.007751</v>
      </c>
      <c r="AD42" s="34">
        <v>115.35741400000001</v>
      </c>
      <c r="AE42" s="34">
        <v>114.730209</v>
      </c>
      <c r="AF42" s="34">
        <v>114.135139</v>
      </c>
      <c r="AG42" s="34">
        <v>113.575684</v>
      </c>
      <c r="AH42" s="34">
        <v>113.059967</v>
      </c>
      <c r="AI42" s="35">
        <v>2.042E-3</v>
      </c>
    </row>
    <row r="43" spans="1:37" ht="15" customHeight="1" x14ac:dyDescent="0.35">
      <c r="A43" s="29" t="s">
        <v>602</v>
      </c>
      <c r="B43" s="33" t="s">
        <v>402</v>
      </c>
      <c r="C43" s="34">
        <v>0.54385899999999998</v>
      </c>
      <c r="D43" s="34">
        <v>0.62545799999999996</v>
      </c>
      <c r="E43" s="34">
        <v>0.72867599999999999</v>
      </c>
      <c r="F43" s="34">
        <v>0.854298</v>
      </c>
      <c r="G43" s="34">
        <v>0.97786899999999999</v>
      </c>
      <c r="H43" s="34">
        <v>1.0900879999999999</v>
      </c>
      <c r="I43" s="34">
        <v>1.2002520000000001</v>
      </c>
      <c r="J43" s="34">
        <v>1.303776</v>
      </c>
      <c r="K43" s="34">
        <v>1.404174</v>
      </c>
      <c r="L43" s="34">
        <v>1.496801</v>
      </c>
      <c r="M43" s="34">
        <v>1.584095</v>
      </c>
      <c r="N43" s="34">
        <v>1.6666620000000001</v>
      </c>
      <c r="O43" s="34">
        <v>1.740737</v>
      </c>
      <c r="P43" s="34">
        <v>1.8072809999999999</v>
      </c>
      <c r="Q43" s="34">
        <v>1.8648739999999999</v>
      </c>
      <c r="R43" s="34">
        <v>1.9151860000000001</v>
      </c>
      <c r="S43" s="34">
        <v>1.9575039999999999</v>
      </c>
      <c r="T43" s="34">
        <v>1.9927189999999999</v>
      </c>
      <c r="U43" s="34">
        <v>2.0216970000000001</v>
      </c>
      <c r="V43" s="34">
        <v>2.046996</v>
      </c>
      <c r="W43" s="34">
        <v>2.0682529999999999</v>
      </c>
      <c r="X43" s="34">
        <v>2.0858660000000002</v>
      </c>
      <c r="Y43" s="34">
        <v>2.1002369999999999</v>
      </c>
      <c r="Z43" s="34">
        <v>2.110989</v>
      </c>
      <c r="AA43" s="34">
        <v>2.1190169999999999</v>
      </c>
      <c r="AB43" s="34">
        <v>2.125086</v>
      </c>
      <c r="AC43" s="34">
        <v>2.1286149999999999</v>
      </c>
      <c r="AD43" s="34">
        <v>2.1314839999999999</v>
      </c>
      <c r="AE43" s="34">
        <v>2.1344949999999998</v>
      </c>
      <c r="AF43" s="34">
        <v>2.1368279999999999</v>
      </c>
      <c r="AG43" s="34">
        <v>2.1383549999999998</v>
      </c>
      <c r="AH43" s="34">
        <v>2.1391279999999999</v>
      </c>
      <c r="AI43" s="35">
        <v>4.5165999999999998E-2</v>
      </c>
      <c r="AJ43" s="36"/>
      <c r="AK43" s="37"/>
    </row>
    <row r="44" spans="1:37" ht="15" customHeight="1" x14ac:dyDescent="0.35">
      <c r="A44" s="29" t="s">
        <v>603</v>
      </c>
      <c r="B44" s="33" t="s">
        <v>401</v>
      </c>
      <c r="C44" s="34">
        <v>106.67420199999999</v>
      </c>
      <c r="D44" s="34">
        <v>107.74329400000001</v>
      </c>
      <c r="E44" s="34">
        <v>109.016907</v>
      </c>
      <c r="F44" s="34">
        <v>110.447433</v>
      </c>
      <c r="G44" s="34">
        <v>112.086838</v>
      </c>
      <c r="H44" s="34">
        <v>113.88723</v>
      </c>
      <c r="I44" s="34">
        <v>115.701706</v>
      </c>
      <c r="J44" s="34">
        <v>117.450981</v>
      </c>
      <c r="K44" s="34">
        <v>119.06707</v>
      </c>
      <c r="L44" s="34">
        <v>120.51709700000001</v>
      </c>
      <c r="M44" s="34">
        <v>121.764565</v>
      </c>
      <c r="N44" s="34">
        <v>122.750107</v>
      </c>
      <c r="O44" s="34">
        <v>123.515045</v>
      </c>
      <c r="P44" s="34">
        <v>124.070953</v>
      </c>
      <c r="Q44" s="34">
        <v>124.390556</v>
      </c>
      <c r="R44" s="34">
        <v>124.46358499999999</v>
      </c>
      <c r="S44" s="34">
        <v>124.322632</v>
      </c>
      <c r="T44" s="34">
        <v>124.010902</v>
      </c>
      <c r="U44" s="34">
        <v>123.571457</v>
      </c>
      <c r="V44" s="34">
        <v>123.032562</v>
      </c>
      <c r="W44" s="34">
        <v>122.40392300000001</v>
      </c>
      <c r="X44" s="34">
        <v>121.71656</v>
      </c>
      <c r="Y44" s="34">
        <v>121.015488</v>
      </c>
      <c r="Z44" s="34">
        <v>120.292007</v>
      </c>
      <c r="AA44" s="34">
        <v>119.55193300000001</v>
      </c>
      <c r="AB44" s="34">
        <v>118.83401499999999</v>
      </c>
      <c r="AC44" s="34">
        <v>118.136368</v>
      </c>
      <c r="AD44" s="34">
        <v>117.488899</v>
      </c>
      <c r="AE44" s="34">
        <v>116.86470799999999</v>
      </c>
      <c r="AF44" s="34">
        <v>116.27196499999999</v>
      </c>
      <c r="AG44" s="34">
        <v>115.714035</v>
      </c>
      <c r="AH44" s="34">
        <v>115.19909699999999</v>
      </c>
      <c r="AI44" s="35">
        <v>2.483E-3</v>
      </c>
      <c r="AJ44" s="36"/>
      <c r="AK44" s="37"/>
    </row>
    <row r="45" spans="1:37" ht="15" customHeight="1" x14ac:dyDescent="0.35">
      <c r="A45" s="19"/>
      <c r="B45" s="41"/>
      <c r="C45" s="36"/>
      <c r="D45" s="36"/>
      <c r="E45" s="36"/>
      <c r="F45" s="36"/>
      <c r="G45" s="36"/>
      <c r="H45" s="36"/>
      <c r="I45" s="36"/>
      <c r="J45" s="36"/>
      <c r="K45" s="36"/>
      <c r="L45" s="36"/>
      <c r="M45" s="36"/>
      <c r="N45" s="36"/>
      <c r="O45" s="36"/>
      <c r="P45" s="36"/>
      <c r="Q45" s="36"/>
      <c r="R45" s="36"/>
      <c r="S45" s="36"/>
      <c r="T45" s="36"/>
      <c r="U45" s="36"/>
      <c r="V45" s="36"/>
      <c r="W45" s="36"/>
      <c r="X45" s="36"/>
      <c r="Y45" s="36"/>
      <c r="Z45" s="36"/>
      <c r="AA45" s="36"/>
      <c r="AB45" s="36"/>
      <c r="AC45" s="36"/>
      <c r="AD45" s="36"/>
      <c r="AE45" s="36"/>
      <c r="AF45" s="36"/>
      <c r="AG45" s="36"/>
      <c r="AH45" s="36"/>
      <c r="AI45" s="36"/>
      <c r="AJ45" s="36"/>
      <c r="AK45" s="37"/>
    </row>
    <row r="46" spans="1:37" ht="15" customHeight="1" x14ac:dyDescent="0.35">
      <c r="A46" s="25"/>
      <c r="B46" s="32" t="s">
        <v>400</v>
      </c>
      <c r="C46" s="25"/>
      <c r="D46" s="25"/>
      <c r="E46" s="25"/>
      <c r="F46" s="25"/>
      <c r="G46" s="25"/>
      <c r="H46" s="25"/>
      <c r="I46" s="25"/>
      <c r="J46" s="25"/>
      <c r="K46" s="25"/>
      <c r="L46" s="25"/>
      <c r="M46" s="25"/>
      <c r="N46" s="25"/>
      <c r="O46" s="25"/>
      <c r="P46" s="25"/>
      <c r="Q46" s="25"/>
      <c r="R46" s="25"/>
      <c r="S46" s="25"/>
      <c r="T46" s="25"/>
      <c r="U46" s="25"/>
      <c r="V46" s="25"/>
      <c r="W46" s="25"/>
      <c r="X46" s="25"/>
      <c r="Y46" s="25"/>
      <c r="Z46" s="25"/>
      <c r="AA46" s="25"/>
      <c r="AB46" s="25"/>
      <c r="AC46" s="25"/>
      <c r="AD46" s="25"/>
      <c r="AE46" s="25"/>
      <c r="AF46" s="25"/>
      <c r="AG46" s="25"/>
      <c r="AH46" s="25"/>
      <c r="AI46" s="25"/>
    </row>
    <row r="47" spans="1:37" ht="15" customHeight="1" x14ac:dyDescent="0.35">
      <c r="A47" s="29" t="s">
        <v>604</v>
      </c>
      <c r="B47" s="33" t="s">
        <v>399</v>
      </c>
      <c r="C47" s="34">
        <v>15.253917</v>
      </c>
      <c r="D47" s="34">
        <v>15.331124000000001</v>
      </c>
      <c r="E47" s="34">
        <v>15.291395</v>
      </c>
      <c r="F47" s="34">
        <v>15.196456</v>
      </c>
      <c r="G47" s="34">
        <v>15.058515999999999</v>
      </c>
      <c r="H47" s="34">
        <v>14.873129</v>
      </c>
      <c r="I47" s="34">
        <v>14.647387999999999</v>
      </c>
      <c r="J47" s="34">
        <v>14.39424</v>
      </c>
      <c r="K47" s="34">
        <v>14.120316000000001</v>
      </c>
      <c r="L47" s="34">
        <v>13.838642999999999</v>
      </c>
      <c r="M47" s="34">
        <v>13.561067</v>
      </c>
      <c r="N47" s="34">
        <v>13.287451000000001</v>
      </c>
      <c r="O47" s="34">
        <v>13.010576</v>
      </c>
      <c r="P47" s="34">
        <v>12.734076</v>
      </c>
      <c r="Q47" s="34">
        <v>12.462249999999999</v>
      </c>
      <c r="R47" s="34">
        <v>12.197708</v>
      </c>
      <c r="S47" s="34">
        <v>11.943911999999999</v>
      </c>
      <c r="T47" s="34">
        <v>11.708337999999999</v>
      </c>
      <c r="U47" s="34">
        <v>11.494101000000001</v>
      </c>
      <c r="V47" s="34">
        <v>11.295489999999999</v>
      </c>
      <c r="W47" s="34">
        <v>11.117741000000001</v>
      </c>
      <c r="X47" s="34">
        <v>10.961444999999999</v>
      </c>
      <c r="Y47" s="34">
        <v>10.819258</v>
      </c>
      <c r="Z47" s="34">
        <v>10.687566</v>
      </c>
      <c r="AA47" s="34">
        <v>10.563585</v>
      </c>
      <c r="AB47" s="34">
        <v>10.448607000000001</v>
      </c>
      <c r="AC47" s="34">
        <v>10.341664</v>
      </c>
      <c r="AD47" s="34">
        <v>10.243971</v>
      </c>
      <c r="AE47" s="34">
        <v>10.152886000000001</v>
      </c>
      <c r="AF47" s="34">
        <v>10.068619999999999</v>
      </c>
      <c r="AG47" s="34">
        <v>9.9910460000000008</v>
      </c>
      <c r="AH47" s="34">
        <v>9.9205109999999994</v>
      </c>
      <c r="AI47" s="35">
        <v>-1.3783E-2</v>
      </c>
    </row>
    <row r="48" spans="1:37" ht="15" customHeight="1" x14ac:dyDescent="0.35">
      <c r="A48" s="29" t="s">
        <v>605</v>
      </c>
      <c r="B48" s="33" t="s">
        <v>398</v>
      </c>
      <c r="C48" s="34">
        <v>1.76E-4</v>
      </c>
      <c r="D48" s="34">
        <v>4.0200000000000001E-4</v>
      </c>
      <c r="E48" s="34">
        <v>6.9899999999999997E-4</v>
      </c>
      <c r="F48" s="34">
        <v>1.083E-3</v>
      </c>
      <c r="G48" s="34">
        <v>1.583E-3</v>
      </c>
      <c r="H48" s="34">
        <v>2.2290000000000001E-3</v>
      </c>
      <c r="I48" s="34">
        <v>3.052E-3</v>
      </c>
      <c r="J48" s="34">
        <v>4.0749999999999996E-3</v>
      </c>
      <c r="K48" s="34">
        <v>5.3220000000000003E-3</v>
      </c>
      <c r="L48" s="34">
        <v>6.8199999999999997E-3</v>
      </c>
      <c r="M48" s="34">
        <v>8.5880000000000001E-3</v>
      </c>
      <c r="N48" s="34">
        <v>1.0619E-2</v>
      </c>
      <c r="O48" s="34">
        <v>1.2912E-2</v>
      </c>
      <c r="P48" s="34">
        <v>1.5461000000000001E-2</v>
      </c>
      <c r="Q48" s="34">
        <v>1.8225000000000002E-2</v>
      </c>
      <c r="R48" s="34">
        <v>2.1163999999999999E-2</v>
      </c>
      <c r="S48" s="34">
        <v>2.4250000000000001E-2</v>
      </c>
      <c r="T48" s="34">
        <v>2.7451E-2</v>
      </c>
      <c r="U48" s="34">
        <v>3.0734999999999998E-2</v>
      </c>
      <c r="V48" s="34">
        <v>3.4058999999999999E-2</v>
      </c>
      <c r="W48" s="34">
        <v>3.7373999999999998E-2</v>
      </c>
      <c r="X48" s="34">
        <v>4.0652000000000001E-2</v>
      </c>
      <c r="Y48" s="34">
        <v>4.3871E-2</v>
      </c>
      <c r="Z48" s="34">
        <v>4.6986E-2</v>
      </c>
      <c r="AA48" s="34">
        <v>4.9985000000000002E-2</v>
      </c>
      <c r="AB48" s="34">
        <v>5.2872000000000002E-2</v>
      </c>
      <c r="AC48" s="34">
        <v>5.5640000000000002E-2</v>
      </c>
      <c r="AD48" s="34">
        <v>5.8302E-2</v>
      </c>
      <c r="AE48" s="34">
        <v>6.0846999999999998E-2</v>
      </c>
      <c r="AF48" s="34">
        <v>6.3284000000000007E-2</v>
      </c>
      <c r="AG48" s="34">
        <v>6.5627000000000005E-2</v>
      </c>
      <c r="AH48" s="34">
        <v>6.7900000000000002E-2</v>
      </c>
      <c r="AI48" s="35">
        <v>0.21187500000000001</v>
      </c>
      <c r="AJ48" s="36"/>
      <c r="AK48" s="37"/>
    </row>
    <row r="49" spans="1:37" ht="15" customHeight="1" x14ac:dyDescent="0.35">
      <c r="A49" s="29" t="s">
        <v>606</v>
      </c>
      <c r="B49" s="33" t="s">
        <v>397</v>
      </c>
      <c r="C49" s="34">
        <v>5.4510000000000003E-2</v>
      </c>
      <c r="D49" s="34">
        <v>0.108663</v>
      </c>
      <c r="E49" s="34">
        <v>0.169265</v>
      </c>
      <c r="F49" s="34">
        <v>0.23546</v>
      </c>
      <c r="G49" s="34">
        <v>0.305261</v>
      </c>
      <c r="H49" s="34">
        <v>0.381332</v>
      </c>
      <c r="I49" s="34">
        <v>0.45836300000000002</v>
      </c>
      <c r="J49" s="34">
        <v>0.534358</v>
      </c>
      <c r="K49" s="34">
        <v>0.60997299999999999</v>
      </c>
      <c r="L49" s="34">
        <v>0.68616299999999997</v>
      </c>
      <c r="M49" s="34">
        <v>0.76380700000000001</v>
      </c>
      <c r="N49" s="34">
        <v>0.84397599999999995</v>
      </c>
      <c r="O49" s="34">
        <v>0.926292</v>
      </c>
      <c r="P49" s="34">
        <v>1.011531</v>
      </c>
      <c r="Q49" s="34">
        <v>1.099019</v>
      </c>
      <c r="R49" s="34">
        <v>1.1883220000000001</v>
      </c>
      <c r="S49" s="34">
        <v>1.280403</v>
      </c>
      <c r="T49" s="34">
        <v>1.3756820000000001</v>
      </c>
      <c r="U49" s="34">
        <v>1.4735670000000001</v>
      </c>
      <c r="V49" s="34">
        <v>1.573936</v>
      </c>
      <c r="W49" s="34">
        <v>1.676328</v>
      </c>
      <c r="X49" s="34">
        <v>1.7798210000000001</v>
      </c>
      <c r="Y49" s="34">
        <v>1.8817140000000001</v>
      </c>
      <c r="Z49" s="34">
        <v>1.9819020000000001</v>
      </c>
      <c r="AA49" s="34">
        <v>2.0797620000000001</v>
      </c>
      <c r="AB49" s="34">
        <v>2.1758799999999998</v>
      </c>
      <c r="AC49" s="34">
        <v>2.2706059999999999</v>
      </c>
      <c r="AD49" s="34">
        <v>2.3635739999999998</v>
      </c>
      <c r="AE49" s="34">
        <v>2.4554010000000002</v>
      </c>
      <c r="AF49" s="34">
        <v>2.5460250000000002</v>
      </c>
      <c r="AG49" s="34">
        <v>2.6352739999999999</v>
      </c>
      <c r="AH49" s="34">
        <v>2.7231079999999999</v>
      </c>
      <c r="AI49" s="35">
        <v>0.13447100000000001</v>
      </c>
      <c r="AJ49" s="36"/>
      <c r="AK49" s="37"/>
    </row>
    <row r="50" spans="1:37" ht="15" customHeight="1" x14ac:dyDescent="0.35">
      <c r="A50" s="29" t="s">
        <v>607</v>
      </c>
      <c r="B50" s="33" t="s">
        <v>544</v>
      </c>
      <c r="C50" s="34">
        <v>1.3566E-2</v>
      </c>
      <c r="D50" s="34">
        <v>1.4288E-2</v>
      </c>
      <c r="E50" s="34">
        <v>1.5262E-2</v>
      </c>
      <c r="F50" s="34">
        <v>1.6528000000000001E-2</v>
      </c>
      <c r="G50" s="34">
        <v>1.814E-2</v>
      </c>
      <c r="H50" s="34">
        <v>2.0187E-2</v>
      </c>
      <c r="I50" s="34">
        <v>2.2745000000000001E-2</v>
      </c>
      <c r="J50" s="34">
        <v>2.5921E-2</v>
      </c>
      <c r="K50" s="34">
        <v>2.9786E-2</v>
      </c>
      <c r="L50" s="34">
        <v>3.4379E-2</v>
      </c>
      <c r="M50" s="34">
        <v>3.9750000000000001E-2</v>
      </c>
      <c r="N50" s="34">
        <v>4.5927000000000003E-2</v>
      </c>
      <c r="O50" s="34">
        <v>5.2932E-2</v>
      </c>
      <c r="P50" s="34">
        <v>6.0720000000000003E-2</v>
      </c>
      <c r="Q50" s="34">
        <v>6.9251999999999994E-2</v>
      </c>
      <c r="R50" s="34">
        <v>7.8524999999999998E-2</v>
      </c>
      <c r="S50" s="34">
        <v>8.8399000000000005E-2</v>
      </c>
      <c r="T50" s="34">
        <v>9.8650000000000002E-2</v>
      </c>
      <c r="U50" s="34">
        <v>0.10914500000000001</v>
      </c>
      <c r="V50" s="34">
        <v>0.119752</v>
      </c>
      <c r="W50" s="34">
        <v>0.13029399999999999</v>
      </c>
      <c r="X50" s="34">
        <v>0.14069699999999999</v>
      </c>
      <c r="Y50" s="34">
        <v>0.15093100000000001</v>
      </c>
      <c r="Z50" s="34">
        <v>0.160798</v>
      </c>
      <c r="AA50" s="34">
        <v>0.170233</v>
      </c>
      <c r="AB50" s="34">
        <v>0.179234</v>
      </c>
      <c r="AC50" s="34">
        <v>0.187747</v>
      </c>
      <c r="AD50" s="34">
        <v>0.19577600000000001</v>
      </c>
      <c r="AE50" s="34">
        <v>0.20324500000000001</v>
      </c>
      <c r="AF50" s="34">
        <v>0.21016299999999999</v>
      </c>
      <c r="AG50" s="34">
        <v>0.21654399999999999</v>
      </c>
      <c r="AH50" s="34">
        <v>0.22242600000000001</v>
      </c>
      <c r="AI50" s="35">
        <v>9.4422000000000006E-2</v>
      </c>
      <c r="AJ50" s="36"/>
      <c r="AK50" s="37"/>
    </row>
    <row r="51" spans="1:37" ht="15" customHeight="1" x14ac:dyDescent="0.35">
      <c r="A51" s="29" t="s">
        <v>608</v>
      </c>
      <c r="B51" s="33" t="s">
        <v>396</v>
      </c>
      <c r="C51" s="34">
        <v>2.9145999999999998E-2</v>
      </c>
      <c r="D51" s="34">
        <v>3.2828999999999997E-2</v>
      </c>
      <c r="E51" s="34">
        <v>3.6305999999999998E-2</v>
      </c>
      <c r="F51" s="34">
        <v>3.9642999999999998E-2</v>
      </c>
      <c r="G51" s="34">
        <v>4.2986000000000003E-2</v>
      </c>
      <c r="H51" s="34">
        <v>4.6418000000000001E-2</v>
      </c>
      <c r="I51" s="34">
        <v>4.9806000000000003E-2</v>
      </c>
      <c r="J51" s="34">
        <v>5.3122999999999997E-2</v>
      </c>
      <c r="K51" s="34">
        <v>5.6592999999999997E-2</v>
      </c>
      <c r="L51" s="34">
        <v>6.0336000000000001E-2</v>
      </c>
      <c r="M51" s="34">
        <v>6.4379000000000006E-2</v>
      </c>
      <c r="N51" s="34">
        <v>6.8640999999999994E-2</v>
      </c>
      <c r="O51" s="34">
        <v>7.3244000000000004E-2</v>
      </c>
      <c r="P51" s="34">
        <v>7.8420000000000004E-2</v>
      </c>
      <c r="Q51" s="34">
        <v>8.4039000000000003E-2</v>
      </c>
      <c r="R51" s="34">
        <v>9.0008000000000005E-2</v>
      </c>
      <c r="S51" s="34">
        <v>9.6382999999999996E-2</v>
      </c>
      <c r="T51" s="34">
        <v>0.103176</v>
      </c>
      <c r="U51" s="34">
        <v>0.11042399999999999</v>
      </c>
      <c r="V51" s="34">
        <v>0.11828</v>
      </c>
      <c r="W51" s="34">
        <v>0.12695899999999999</v>
      </c>
      <c r="X51" s="34">
        <v>0.13652</v>
      </c>
      <c r="Y51" s="34">
        <v>0.147089</v>
      </c>
      <c r="Z51" s="34">
        <v>0.15903300000000001</v>
      </c>
      <c r="AA51" s="34">
        <v>0.17250599999999999</v>
      </c>
      <c r="AB51" s="34">
        <v>0.18795999999999999</v>
      </c>
      <c r="AC51" s="34">
        <v>0.205759</v>
      </c>
      <c r="AD51" s="34">
        <v>0.226412</v>
      </c>
      <c r="AE51" s="34">
        <v>0.25045699999999999</v>
      </c>
      <c r="AF51" s="34">
        <v>0.27854400000000001</v>
      </c>
      <c r="AG51" s="34">
        <v>0.31139899999999998</v>
      </c>
      <c r="AH51" s="34">
        <v>0.34988799999999998</v>
      </c>
      <c r="AI51" s="35">
        <v>8.3472000000000005E-2</v>
      </c>
      <c r="AJ51" s="36"/>
      <c r="AK51" s="37"/>
    </row>
    <row r="52" spans="1:37" ht="15" customHeight="1" x14ac:dyDescent="0.35">
      <c r="A52" s="29" t="s">
        <v>609</v>
      </c>
      <c r="B52" s="33" t="s">
        <v>395</v>
      </c>
      <c r="C52" s="34">
        <v>3.3293000000000003E-2</v>
      </c>
      <c r="D52" s="34">
        <v>5.4116999999999998E-2</v>
      </c>
      <c r="E52" s="34">
        <v>7.5277999999999998E-2</v>
      </c>
      <c r="F52" s="34">
        <v>9.4754000000000005E-2</v>
      </c>
      <c r="G52" s="34">
        <v>0.112665</v>
      </c>
      <c r="H52" s="34">
        <v>0.129247</v>
      </c>
      <c r="I52" s="34">
        <v>0.15018899999999999</v>
      </c>
      <c r="J52" s="34">
        <v>0.199072</v>
      </c>
      <c r="K52" s="34">
        <v>0.25713200000000003</v>
      </c>
      <c r="L52" s="34">
        <v>0.31487399999999999</v>
      </c>
      <c r="M52" s="34">
        <v>0.37125999999999998</v>
      </c>
      <c r="N52" s="34">
        <v>0.42692600000000003</v>
      </c>
      <c r="O52" s="34">
        <v>0.48170200000000002</v>
      </c>
      <c r="P52" s="34">
        <v>0.53605899999999995</v>
      </c>
      <c r="Q52" s="34">
        <v>0.58954099999999998</v>
      </c>
      <c r="R52" s="34">
        <v>0.64190000000000003</v>
      </c>
      <c r="S52" s="34">
        <v>0.69327899999999998</v>
      </c>
      <c r="T52" s="34">
        <v>0.74327500000000002</v>
      </c>
      <c r="U52" s="34">
        <v>0.79119700000000004</v>
      </c>
      <c r="V52" s="34">
        <v>0.836677</v>
      </c>
      <c r="W52" s="34">
        <v>0.87928200000000001</v>
      </c>
      <c r="X52" s="34">
        <v>0.91845900000000003</v>
      </c>
      <c r="Y52" s="34">
        <v>0.953901</v>
      </c>
      <c r="Z52" s="34">
        <v>0.98615799999999998</v>
      </c>
      <c r="AA52" s="34">
        <v>1.0154289999999999</v>
      </c>
      <c r="AB52" s="34">
        <v>1.042014</v>
      </c>
      <c r="AC52" s="34">
        <v>1.065906</v>
      </c>
      <c r="AD52" s="34">
        <v>1.0869660000000001</v>
      </c>
      <c r="AE52" s="34">
        <v>1.105272</v>
      </c>
      <c r="AF52" s="34">
        <v>1.120892</v>
      </c>
      <c r="AG52" s="34">
        <v>1.134107</v>
      </c>
      <c r="AH52" s="34">
        <v>1.1450119999999999</v>
      </c>
      <c r="AI52" s="35">
        <v>0.12089</v>
      </c>
      <c r="AJ52" s="36"/>
      <c r="AK52" s="37"/>
    </row>
    <row r="53" spans="1:37" ht="15" customHeight="1" x14ac:dyDescent="0.35">
      <c r="A53" s="29" t="s">
        <v>610</v>
      </c>
      <c r="B53" s="33" t="s">
        <v>394</v>
      </c>
      <c r="C53" s="34">
        <v>0</v>
      </c>
      <c r="D53" s="34">
        <v>0</v>
      </c>
      <c r="E53" s="34">
        <v>0</v>
      </c>
      <c r="F53" s="34">
        <v>0</v>
      </c>
      <c r="G53" s="34">
        <v>0</v>
      </c>
      <c r="H53" s="34">
        <v>0</v>
      </c>
      <c r="I53" s="34">
        <v>0</v>
      </c>
      <c r="J53" s="34">
        <v>1.5E-5</v>
      </c>
      <c r="K53" s="34">
        <v>3.4999999999999997E-5</v>
      </c>
      <c r="L53" s="34">
        <v>6.0000000000000002E-5</v>
      </c>
      <c r="M53" s="34">
        <v>9.2E-5</v>
      </c>
      <c r="N53" s="34">
        <v>1.34E-4</v>
      </c>
      <c r="O53" s="34">
        <v>1.8599999999999999E-4</v>
      </c>
      <c r="P53" s="34">
        <v>2.5099999999999998E-4</v>
      </c>
      <c r="Q53" s="34">
        <v>3.2899999999999997E-4</v>
      </c>
      <c r="R53" s="34">
        <v>4.2400000000000001E-4</v>
      </c>
      <c r="S53" s="34">
        <v>5.3799999999999996E-4</v>
      </c>
      <c r="T53" s="34">
        <v>6.7299999999999999E-4</v>
      </c>
      <c r="U53" s="34">
        <v>8.3000000000000001E-4</v>
      </c>
      <c r="V53" s="34">
        <v>1.01E-3</v>
      </c>
      <c r="W53" s="34">
        <v>1.212E-3</v>
      </c>
      <c r="X53" s="34">
        <v>1.4339999999999999E-3</v>
      </c>
      <c r="Y53" s="34">
        <v>1.673E-3</v>
      </c>
      <c r="Z53" s="34">
        <v>1.926E-3</v>
      </c>
      <c r="AA53" s="34">
        <v>2.189E-3</v>
      </c>
      <c r="AB53" s="34">
        <v>2.4589999999999998E-3</v>
      </c>
      <c r="AC53" s="34">
        <v>2.7330000000000002E-3</v>
      </c>
      <c r="AD53" s="34">
        <v>3.0079999999999998E-3</v>
      </c>
      <c r="AE53" s="34">
        <v>3.2789999999999998E-3</v>
      </c>
      <c r="AF53" s="34">
        <v>3.545E-3</v>
      </c>
      <c r="AG53" s="34">
        <v>3.8019999999999998E-3</v>
      </c>
      <c r="AH53" s="34">
        <v>4.0509999999999999E-3</v>
      </c>
      <c r="AI53" s="35" t="s">
        <v>12</v>
      </c>
      <c r="AJ53" s="36"/>
      <c r="AK53" s="37"/>
    </row>
    <row r="54" spans="1:37" ht="15" customHeight="1" x14ac:dyDescent="0.35">
      <c r="A54" s="29" t="s">
        <v>611</v>
      </c>
      <c r="B54" s="33" t="s">
        <v>393</v>
      </c>
      <c r="C54" s="34">
        <v>0.88117999999999996</v>
      </c>
      <c r="D54" s="34">
        <v>1.1344829999999999</v>
      </c>
      <c r="E54" s="34">
        <v>1.394274</v>
      </c>
      <c r="F54" s="34">
        <v>1.6616919999999999</v>
      </c>
      <c r="G54" s="34">
        <v>1.9412320000000001</v>
      </c>
      <c r="H54" s="34">
        <v>2.237549</v>
      </c>
      <c r="I54" s="34">
        <v>2.5237259999999999</v>
      </c>
      <c r="J54" s="34">
        <v>2.8220010000000002</v>
      </c>
      <c r="K54" s="34">
        <v>3.1249039999999999</v>
      </c>
      <c r="L54" s="34">
        <v>3.424798</v>
      </c>
      <c r="M54" s="34">
        <v>3.7188140000000001</v>
      </c>
      <c r="N54" s="34">
        <v>4.0014380000000003</v>
      </c>
      <c r="O54" s="34">
        <v>4.276383</v>
      </c>
      <c r="P54" s="34">
        <v>4.543469</v>
      </c>
      <c r="Q54" s="34">
        <v>4.8006950000000002</v>
      </c>
      <c r="R54" s="34">
        <v>5.0476900000000002</v>
      </c>
      <c r="S54" s="34">
        <v>5.286295</v>
      </c>
      <c r="T54" s="34">
        <v>5.518821</v>
      </c>
      <c r="U54" s="34">
        <v>5.745317</v>
      </c>
      <c r="V54" s="34">
        <v>5.9664159999999997</v>
      </c>
      <c r="W54" s="34">
        <v>6.1816430000000002</v>
      </c>
      <c r="X54" s="34">
        <v>6.3913289999999998</v>
      </c>
      <c r="Y54" s="34">
        <v>6.5961590000000001</v>
      </c>
      <c r="Z54" s="34">
        <v>6.795852</v>
      </c>
      <c r="AA54" s="34">
        <v>6.9919019999999996</v>
      </c>
      <c r="AB54" s="34">
        <v>7.1870310000000002</v>
      </c>
      <c r="AC54" s="34">
        <v>7.3822109999999999</v>
      </c>
      <c r="AD54" s="34">
        <v>7.5783969999999998</v>
      </c>
      <c r="AE54" s="34">
        <v>7.7758390000000004</v>
      </c>
      <c r="AF54" s="34">
        <v>7.9745080000000002</v>
      </c>
      <c r="AG54" s="34">
        <v>8.1748519999999996</v>
      </c>
      <c r="AH54" s="34">
        <v>8.3778179999999995</v>
      </c>
      <c r="AI54" s="35">
        <v>7.5352000000000002E-2</v>
      </c>
      <c r="AJ54" s="36"/>
      <c r="AK54" s="37"/>
    </row>
    <row r="55" spans="1:37" ht="15" customHeight="1" x14ac:dyDescent="0.35">
      <c r="A55" s="29" t="s">
        <v>612</v>
      </c>
      <c r="B55" s="33" t="s">
        <v>392</v>
      </c>
      <c r="C55" s="34">
        <v>1.5369000000000001E-2</v>
      </c>
      <c r="D55" s="34">
        <v>1.3932E-2</v>
      </c>
      <c r="E55" s="34">
        <v>1.3271E-2</v>
      </c>
      <c r="F55" s="34">
        <v>1.2668E-2</v>
      </c>
      <c r="G55" s="34">
        <v>1.2142E-2</v>
      </c>
      <c r="H55" s="34">
        <v>1.1697000000000001E-2</v>
      </c>
      <c r="I55" s="34">
        <v>1.1287999999999999E-2</v>
      </c>
      <c r="J55" s="34">
        <v>1.0956E-2</v>
      </c>
      <c r="K55" s="34">
        <v>1.0678E-2</v>
      </c>
      <c r="L55" s="34">
        <v>1.0446E-2</v>
      </c>
      <c r="M55" s="34">
        <v>1.0189E-2</v>
      </c>
      <c r="N55" s="34">
        <v>1.0015E-2</v>
      </c>
      <c r="O55" s="34">
        <v>9.8589999999999997E-3</v>
      </c>
      <c r="P55" s="34">
        <v>9.7269999999999995E-3</v>
      </c>
      <c r="Q55" s="34">
        <v>9.6030000000000004E-3</v>
      </c>
      <c r="R55" s="34">
        <v>9.5300000000000003E-3</v>
      </c>
      <c r="S55" s="34">
        <v>9.4549999999999999E-3</v>
      </c>
      <c r="T55" s="34">
        <v>9.4000000000000004E-3</v>
      </c>
      <c r="U55" s="34">
        <v>9.3559999999999997E-3</v>
      </c>
      <c r="V55" s="34">
        <v>9.3240000000000007E-3</v>
      </c>
      <c r="W55" s="34">
        <v>9.2890000000000004E-3</v>
      </c>
      <c r="X55" s="34">
        <v>9.247E-3</v>
      </c>
      <c r="Y55" s="34">
        <v>9.2490000000000003E-3</v>
      </c>
      <c r="Z55" s="34">
        <v>9.221E-3</v>
      </c>
      <c r="AA55" s="34">
        <v>9.2329999999999999E-3</v>
      </c>
      <c r="AB55" s="34">
        <v>9.2449999999999997E-3</v>
      </c>
      <c r="AC55" s="34">
        <v>9.2610000000000001E-3</v>
      </c>
      <c r="AD55" s="34">
        <v>9.2809999999999993E-3</v>
      </c>
      <c r="AE55" s="34">
        <v>9.3030000000000005E-3</v>
      </c>
      <c r="AF55" s="34">
        <v>9.3299999999999998E-3</v>
      </c>
      <c r="AG55" s="34">
        <v>9.3600000000000003E-3</v>
      </c>
      <c r="AH55" s="34">
        <v>9.3959999999999998E-3</v>
      </c>
      <c r="AI55" s="35">
        <v>-1.575E-2</v>
      </c>
      <c r="AJ55" s="36"/>
      <c r="AK55" s="37"/>
    </row>
    <row r="56" spans="1:37" ht="15" customHeight="1" x14ac:dyDescent="0.35">
      <c r="A56" s="29" t="s">
        <v>613</v>
      </c>
      <c r="B56" s="33" t="s">
        <v>391</v>
      </c>
      <c r="C56" s="34">
        <v>3.8442999999999998E-2</v>
      </c>
      <c r="D56" s="34">
        <v>3.8704000000000002E-2</v>
      </c>
      <c r="E56" s="34">
        <v>3.8821000000000001E-2</v>
      </c>
      <c r="F56" s="34">
        <v>3.8773000000000002E-2</v>
      </c>
      <c r="G56" s="34">
        <v>3.8703000000000001E-2</v>
      </c>
      <c r="H56" s="34">
        <v>3.8644999999999999E-2</v>
      </c>
      <c r="I56" s="34">
        <v>3.8524999999999997E-2</v>
      </c>
      <c r="J56" s="34">
        <v>3.8411000000000001E-2</v>
      </c>
      <c r="K56" s="34">
        <v>3.8270999999999999E-2</v>
      </c>
      <c r="L56" s="34">
        <v>3.8122000000000003E-2</v>
      </c>
      <c r="M56" s="34">
        <v>3.7907000000000003E-2</v>
      </c>
      <c r="N56" s="34">
        <v>3.7671999999999997E-2</v>
      </c>
      <c r="O56" s="34">
        <v>3.7414000000000003E-2</v>
      </c>
      <c r="P56" s="34">
        <v>3.7164000000000003E-2</v>
      </c>
      <c r="Q56" s="34">
        <v>3.6882999999999999E-2</v>
      </c>
      <c r="R56" s="34">
        <v>3.6674999999999999E-2</v>
      </c>
      <c r="S56" s="34">
        <v>3.6436000000000003E-2</v>
      </c>
      <c r="T56" s="34">
        <v>3.6228000000000003E-2</v>
      </c>
      <c r="U56" s="34">
        <v>3.6047999999999997E-2</v>
      </c>
      <c r="V56" s="34">
        <v>3.5889999999999998E-2</v>
      </c>
      <c r="W56" s="34">
        <v>3.5712000000000001E-2</v>
      </c>
      <c r="X56" s="34">
        <v>3.5515999999999999E-2</v>
      </c>
      <c r="Y56" s="34">
        <v>3.5360000000000003E-2</v>
      </c>
      <c r="Z56" s="34">
        <v>3.5194000000000003E-2</v>
      </c>
      <c r="AA56" s="34">
        <v>3.5032000000000001E-2</v>
      </c>
      <c r="AB56" s="34">
        <v>3.4881000000000002E-2</v>
      </c>
      <c r="AC56" s="34">
        <v>3.4750999999999997E-2</v>
      </c>
      <c r="AD56" s="34">
        <v>3.4654999999999998E-2</v>
      </c>
      <c r="AE56" s="34">
        <v>3.4569000000000003E-2</v>
      </c>
      <c r="AF56" s="34">
        <v>3.4497E-2</v>
      </c>
      <c r="AG56" s="34">
        <v>3.4438999999999997E-2</v>
      </c>
      <c r="AH56" s="34">
        <v>3.4404999999999998E-2</v>
      </c>
      <c r="AI56" s="35">
        <v>-3.5739999999999999E-3</v>
      </c>
      <c r="AJ56" s="36"/>
      <c r="AK56" s="37"/>
    </row>
    <row r="57" spans="1:37" ht="15" customHeight="1" x14ac:dyDescent="0.35">
      <c r="A57" s="29" t="s">
        <v>614</v>
      </c>
      <c r="B57" s="33" t="s">
        <v>390</v>
      </c>
      <c r="C57" s="34">
        <v>1.4357E-2</v>
      </c>
      <c r="D57" s="34">
        <v>1.3852E-2</v>
      </c>
      <c r="E57" s="34">
        <v>1.3424E-2</v>
      </c>
      <c r="F57" s="34">
        <v>1.303E-2</v>
      </c>
      <c r="G57" s="34">
        <v>1.2703000000000001E-2</v>
      </c>
      <c r="H57" s="34">
        <v>1.2433E-2</v>
      </c>
      <c r="I57" s="34">
        <v>1.2215E-2</v>
      </c>
      <c r="J57" s="34">
        <v>1.2047E-2</v>
      </c>
      <c r="K57" s="34">
        <v>1.1915E-2</v>
      </c>
      <c r="L57" s="34">
        <v>1.1816E-2</v>
      </c>
      <c r="M57" s="34">
        <v>1.1736E-2</v>
      </c>
      <c r="N57" s="34">
        <v>1.167E-2</v>
      </c>
      <c r="O57" s="34">
        <v>1.1622E-2</v>
      </c>
      <c r="P57" s="34">
        <v>1.1594E-2</v>
      </c>
      <c r="Q57" s="34">
        <v>1.1573999999999999E-2</v>
      </c>
      <c r="R57" s="34">
        <v>1.1616E-2</v>
      </c>
      <c r="S57" s="34">
        <v>1.1657000000000001E-2</v>
      </c>
      <c r="T57" s="34">
        <v>1.172E-2</v>
      </c>
      <c r="U57" s="34">
        <v>1.1793E-2</v>
      </c>
      <c r="V57" s="34">
        <v>1.1878E-2</v>
      </c>
      <c r="W57" s="34">
        <v>1.1958999999999999E-2</v>
      </c>
      <c r="X57" s="34">
        <v>1.2031E-2</v>
      </c>
      <c r="Y57" s="34">
        <v>1.2158E-2</v>
      </c>
      <c r="Z57" s="34">
        <v>1.2302E-2</v>
      </c>
      <c r="AA57" s="34">
        <v>1.2456E-2</v>
      </c>
      <c r="AB57" s="34">
        <v>1.2619999999999999E-2</v>
      </c>
      <c r="AC57" s="34">
        <v>1.2799E-2</v>
      </c>
      <c r="AD57" s="34">
        <v>1.2994E-2</v>
      </c>
      <c r="AE57" s="34">
        <v>1.3206000000000001E-2</v>
      </c>
      <c r="AF57" s="34">
        <v>1.3434E-2</v>
      </c>
      <c r="AG57" s="34">
        <v>1.3679999999999999E-2</v>
      </c>
      <c r="AH57" s="34">
        <v>1.3944E-2</v>
      </c>
      <c r="AI57" s="35">
        <v>-9.3999999999999997E-4</v>
      </c>
      <c r="AJ57" s="36"/>
      <c r="AK57" s="37"/>
    </row>
    <row r="58" spans="1:37" ht="15" customHeight="1" x14ac:dyDescent="0.35">
      <c r="A58" s="29" t="s">
        <v>615</v>
      </c>
      <c r="B58" s="33" t="s">
        <v>389</v>
      </c>
      <c r="C58" s="34">
        <v>6.5583000000000002E-2</v>
      </c>
      <c r="D58" s="34">
        <v>6.1177000000000002E-2</v>
      </c>
      <c r="E58" s="34">
        <v>5.7027000000000001E-2</v>
      </c>
      <c r="F58" s="34">
        <v>5.2998999999999998E-2</v>
      </c>
      <c r="G58" s="34">
        <v>4.9258000000000003E-2</v>
      </c>
      <c r="H58" s="34">
        <v>4.5810999999999998E-2</v>
      </c>
      <c r="I58" s="34">
        <v>4.2592999999999999E-2</v>
      </c>
      <c r="J58" s="34">
        <v>3.9659E-2</v>
      </c>
      <c r="K58" s="34">
        <v>3.6985999999999998E-2</v>
      </c>
      <c r="L58" s="34">
        <v>3.4587E-2</v>
      </c>
      <c r="M58" s="34">
        <v>3.2397000000000002E-2</v>
      </c>
      <c r="N58" s="34">
        <v>3.0384000000000001E-2</v>
      </c>
      <c r="O58" s="34">
        <v>2.8603E-2</v>
      </c>
      <c r="P58" s="34">
        <v>2.7071000000000001E-2</v>
      </c>
      <c r="Q58" s="34">
        <v>2.5715999999999999E-2</v>
      </c>
      <c r="R58" s="34">
        <v>2.4771999999999999E-2</v>
      </c>
      <c r="S58" s="34">
        <v>2.3911999999999999E-2</v>
      </c>
      <c r="T58" s="34">
        <v>2.3241999999999999E-2</v>
      </c>
      <c r="U58" s="34">
        <v>2.2697999999999999E-2</v>
      </c>
      <c r="V58" s="34">
        <v>2.2251E-2</v>
      </c>
      <c r="W58" s="34">
        <v>2.1819000000000002E-2</v>
      </c>
      <c r="X58" s="34">
        <v>2.1350999999999998E-2</v>
      </c>
      <c r="Y58" s="34">
        <v>2.1270000000000001E-2</v>
      </c>
      <c r="Z58" s="34">
        <v>2.1172E-2</v>
      </c>
      <c r="AA58" s="34">
        <v>2.1073000000000001E-2</v>
      </c>
      <c r="AB58" s="34">
        <v>2.0982000000000001E-2</v>
      </c>
      <c r="AC58" s="34">
        <v>2.0902E-2</v>
      </c>
      <c r="AD58" s="34">
        <v>2.0843E-2</v>
      </c>
      <c r="AE58" s="34">
        <v>2.0788999999999998E-2</v>
      </c>
      <c r="AF58" s="34">
        <v>2.0742E-2</v>
      </c>
      <c r="AG58" s="34">
        <v>2.0704E-2</v>
      </c>
      <c r="AH58" s="34">
        <v>2.0677999999999998E-2</v>
      </c>
      <c r="AI58" s="35">
        <v>-3.6548999999999998E-2</v>
      </c>
      <c r="AJ58" s="36"/>
      <c r="AK58" s="37"/>
    </row>
    <row r="59" spans="1:37" ht="15" customHeight="1" x14ac:dyDescent="0.35">
      <c r="A59" s="29" t="s">
        <v>616</v>
      </c>
      <c r="B59" s="33" t="s">
        <v>388</v>
      </c>
      <c r="C59" s="34">
        <v>0</v>
      </c>
      <c r="D59" s="34">
        <v>0</v>
      </c>
      <c r="E59" s="34">
        <v>0</v>
      </c>
      <c r="F59" s="34">
        <v>0</v>
      </c>
      <c r="G59" s="34">
        <v>0</v>
      </c>
      <c r="H59" s="34">
        <v>0</v>
      </c>
      <c r="I59" s="34">
        <v>0</v>
      </c>
      <c r="J59" s="34">
        <v>0</v>
      </c>
      <c r="K59" s="34">
        <v>0</v>
      </c>
      <c r="L59" s="34">
        <v>0</v>
      </c>
      <c r="M59" s="34">
        <v>0</v>
      </c>
      <c r="N59" s="34">
        <v>0</v>
      </c>
      <c r="O59" s="34">
        <v>0</v>
      </c>
      <c r="P59" s="34">
        <v>0</v>
      </c>
      <c r="Q59" s="34">
        <v>0</v>
      </c>
      <c r="R59" s="34">
        <v>0</v>
      </c>
      <c r="S59" s="34">
        <v>0</v>
      </c>
      <c r="T59" s="34">
        <v>0</v>
      </c>
      <c r="U59" s="34">
        <v>0</v>
      </c>
      <c r="V59" s="34">
        <v>0</v>
      </c>
      <c r="W59" s="34">
        <v>0</v>
      </c>
      <c r="X59" s="34">
        <v>0</v>
      </c>
      <c r="Y59" s="34">
        <v>0</v>
      </c>
      <c r="Z59" s="34">
        <v>0</v>
      </c>
      <c r="AA59" s="34">
        <v>0</v>
      </c>
      <c r="AB59" s="34">
        <v>0</v>
      </c>
      <c r="AC59" s="34">
        <v>0</v>
      </c>
      <c r="AD59" s="34">
        <v>0</v>
      </c>
      <c r="AE59" s="34">
        <v>0</v>
      </c>
      <c r="AF59" s="34">
        <v>0</v>
      </c>
      <c r="AG59" s="34">
        <v>0</v>
      </c>
      <c r="AH59" s="34">
        <v>0</v>
      </c>
      <c r="AI59" s="35" t="s">
        <v>12</v>
      </c>
      <c r="AJ59" s="36"/>
      <c r="AK59" s="37"/>
    </row>
    <row r="60" spans="1:37" ht="15" customHeight="1" x14ac:dyDescent="0.35">
      <c r="A60" s="29" t="s">
        <v>617</v>
      </c>
      <c r="B60" s="33" t="s">
        <v>387</v>
      </c>
      <c r="C60" s="34">
        <v>0</v>
      </c>
      <c r="D60" s="34">
        <v>6.0000000000000002E-6</v>
      </c>
      <c r="E60" s="34">
        <v>1.4E-5</v>
      </c>
      <c r="F60" s="34">
        <v>2.5000000000000001E-5</v>
      </c>
      <c r="G60" s="34">
        <v>3.8999999999999999E-5</v>
      </c>
      <c r="H60" s="34">
        <v>5.8999999999999998E-5</v>
      </c>
      <c r="I60" s="34">
        <v>8.7999999999999998E-5</v>
      </c>
      <c r="J60" s="34">
        <v>1.2400000000000001E-4</v>
      </c>
      <c r="K60" s="34">
        <v>1.6899999999999999E-4</v>
      </c>
      <c r="L60" s="34">
        <v>2.24E-4</v>
      </c>
      <c r="M60" s="34">
        <v>2.9E-4</v>
      </c>
      <c r="N60" s="34">
        <v>3.68E-4</v>
      </c>
      <c r="O60" s="34">
        <v>4.5899999999999999E-4</v>
      </c>
      <c r="P60" s="34">
        <v>5.6300000000000002E-4</v>
      </c>
      <c r="Q60" s="34">
        <v>6.7900000000000002E-4</v>
      </c>
      <c r="R60" s="34">
        <v>8.0699999999999999E-4</v>
      </c>
      <c r="S60" s="34">
        <v>9.4700000000000003E-4</v>
      </c>
      <c r="T60" s="34">
        <v>1.0989999999999999E-3</v>
      </c>
      <c r="U60" s="34">
        <v>1.261E-3</v>
      </c>
      <c r="V60" s="34">
        <v>1.4339999999999999E-3</v>
      </c>
      <c r="W60" s="34">
        <v>1.616E-3</v>
      </c>
      <c r="X60" s="34">
        <v>1.8060000000000001E-3</v>
      </c>
      <c r="Y60" s="34">
        <v>2.0040000000000001E-3</v>
      </c>
      <c r="Z60" s="34">
        <v>2.2079999999999999E-3</v>
      </c>
      <c r="AA60" s="34">
        <v>2.4169999999999999E-3</v>
      </c>
      <c r="AB60" s="34">
        <v>2.6319999999999998E-3</v>
      </c>
      <c r="AC60" s="34">
        <v>2.8540000000000002E-3</v>
      </c>
      <c r="AD60" s="34">
        <v>3.081E-3</v>
      </c>
      <c r="AE60" s="34">
        <v>3.3140000000000001E-3</v>
      </c>
      <c r="AF60" s="34">
        <v>3.5509999999999999E-3</v>
      </c>
      <c r="AG60" s="34">
        <v>3.7929999999999999E-3</v>
      </c>
      <c r="AH60" s="34">
        <v>4.0390000000000001E-3</v>
      </c>
      <c r="AI60" s="35">
        <v>0.77769299999999997</v>
      </c>
      <c r="AJ60" s="36"/>
      <c r="AK60" s="37"/>
    </row>
    <row r="61" spans="1:37" ht="15" customHeight="1" x14ac:dyDescent="0.35">
      <c r="A61" s="29" t="s">
        <v>618</v>
      </c>
      <c r="B61" s="33" t="s">
        <v>386</v>
      </c>
      <c r="C61" s="34">
        <v>16.399538</v>
      </c>
      <c r="D61" s="34">
        <v>16.803581000000001</v>
      </c>
      <c r="E61" s="34">
        <v>17.105032000000001</v>
      </c>
      <c r="F61" s="34">
        <v>17.363111</v>
      </c>
      <c r="G61" s="34">
        <v>17.593229000000001</v>
      </c>
      <c r="H61" s="34">
        <v>17.798739999999999</v>
      </c>
      <c r="I61" s="34">
        <v>17.959976000000001</v>
      </c>
      <c r="J61" s="34">
        <v>18.134003</v>
      </c>
      <c r="K61" s="34">
        <v>18.302076</v>
      </c>
      <c r="L61" s="34">
        <v>18.461269000000001</v>
      </c>
      <c r="M61" s="34">
        <v>18.620274999999999</v>
      </c>
      <c r="N61" s="34">
        <v>18.775220999999998</v>
      </c>
      <c r="O61" s="34">
        <v>18.922184000000001</v>
      </c>
      <c r="P61" s="34">
        <v>19.066109000000001</v>
      </c>
      <c r="Q61" s="34">
        <v>19.207808</v>
      </c>
      <c r="R61" s="34">
        <v>19.349142000000001</v>
      </c>
      <c r="S61" s="34">
        <v>19.495867000000001</v>
      </c>
      <c r="T61" s="34">
        <v>19.657755000000002</v>
      </c>
      <c r="U61" s="34">
        <v>19.836469999999998</v>
      </c>
      <c r="V61" s="34">
        <v>20.026394</v>
      </c>
      <c r="W61" s="34">
        <v>20.231228000000002</v>
      </c>
      <c r="X61" s="34">
        <v>20.450310000000002</v>
      </c>
      <c r="Y61" s="34">
        <v>20.674638999999999</v>
      </c>
      <c r="Z61" s="34">
        <v>20.900316</v>
      </c>
      <c r="AA61" s="34">
        <v>21.125800999999999</v>
      </c>
      <c r="AB61" s="34">
        <v>21.356417</v>
      </c>
      <c r="AC61" s="34">
        <v>21.592834</v>
      </c>
      <c r="AD61" s="34">
        <v>21.837259</v>
      </c>
      <c r="AE61" s="34">
        <v>22.088408000000001</v>
      </c>
      <c r="AF61" s="34">
        <v>22.347134</v>
      </c>
      <c r="AG61" s="34">
        <v>22.614626000000001</v>
      </c>
      <c r="AH61" s="34">
        <v>22.893173000000001</v>
      </c>
      <c r="AI61" s="35">
        <v>1.0819E-2</v>
      </c>
      <c r="AJ61" s="36"/>
      <c r="AK61" s="37"/>
    </row>
    <row r="62" spans="1:37" ht="15" customHeight="1" x14ac:dyDescent="0.35">
      <c r="A62" s="19"/>
      <c r="B62" s="41"/>
      <c r="C62" s="36"/>
      <c r="D62" s="36"/>
      <c r="E62" s="36"/>
      <c r="F62" s="36"/>
      <c r="G62" s="36"/>
      <c r="H62" s="36"/>
      <c r="I62" s="36"/>
      <c r="J62" s="36"/>
      <c r="K62" s="36"/>
      <c r="L62" s="36"/>
      <c r="M62" s="36"/>
      <c r="N62" s="36"/>
      <c r="O62" s="36"/>
      <c r="P62" s="36"/>
      <c r="Q62" s="36"/>
      <c r="R62" s="36"/>
      <c r="S62" s="36"/>
      <c r="T62" s="36"/>
      <c r="U62" s="36"/>
      <c r="V62" s="36"/>
      <c r="W62" s="36"/>
      <c r="X62" s="36"/>
      <c r="Y62" s="36"/>
      <c r="Z62" s="36"/>
      <c r="AA62" s="36"/>
      <c r="AB62" s="36"/>
      <c r="AC62" s="36"/>
      <c r="AD62" s="36"/>
      <c r="AE62" s="36"/>
      <c r="AF62" s="36"/>
      <c r="AG62" s="36"/>
      <c r="AH62" s="36"/>
      <c r="AI62" s="36"/>
      <c r="AJ62" s="36"/>
      <c r="AK62" s="37"/>
    </row>
    <row r="63" spans="1:37" ht="15" customHeight="1" x14ac:dyDescent="0.35">
      <c r="A63" s="29" t="s">
        <v>619</v>
      </c>
      <c r="B63" s="32" t="s">
        <v>620</v>
      </c>
      <c r="C63" s="38">
        <v>123.07373800000001</v>
      </c>
      <c r="D63" s="38">
        <v>124.546875</v>
      </c>
      <c r="E63" s="38">
        <v>126.12194100000001</v>
      </c>
      <c r="F63" s="38">
        <v>127.810547</v>
      </c>
      <c r="G63" s="38">
        <v>129.680069</v>
      </c>
      <c r="H63" s="38">
        <v>131.68597399999999</v>
      </c>
      <c r="I63" s="38">
        <v>133.66168200000001</v>
      </c>
      <c r="J63" s="38">
        <v>135.584991</v>
      </c>
      <c r="K63" s="38">
        <v>137.36914100000001</v>
      </c>
      <c r="L63" s="38">
        <v>138.978363</v>
      </c>
      <c r="M63" s="38">
        <v>140.38484199999999</v>
      </c>
      <c r="N63" s="38">
        <v>141.52533</v>
      </c>
      <c r="O63" s="38">
        <v>142.43722500000001</v>
      </c>
      <c r="P63" s="38">
        <v>143.13705400000001</v>
      </c>
      <c r="Q63" s="38">
        <v>143.59835799999999</v>
      </c>
      <c r="R63" s="38">
        <v>143.81272899999999</v>
      </c>
      <c r="S63" s="38">
        <v>143.81849700000001</v>
      </c>
      <c r="T63" s="38">
        <v>143.668655</v>
      </c>
      <c r="U63" s="38">
        <v>143.407928</v>
      </c>
      <c r="V63" s="38">
        <v>143.05896000000001</v>
      </c>
      <c r="W63" s="38">
        <v>142.63514699999999</v>
      </c>
      <c r="X63" s="38">
        <v>142.16686999999999</v>
      </c>
      <c r="Y63" s="38">
        <v>141.69012499999999</v>
      </c>
      <c r="Z63" s="38">
        <v>141.19232199999999</v>
      </c>
      <c r="AA63" s="38">
        <v>140.67773399999999</v>
      </c>
      <c r="AB63" s="38">
        <v>140.19042999999999</v>
      </c>
      <c r="AC63" s="38">
        <v>139.72920199999999</v>
      </c>
      <c r="AD63" s="38">
        <v>139.32615699999999</v>
      </c>
      <c r="AE63" s="38">
        <v>138.95311000000001</v>
      </c>
      <c r="AF63" s="38">
        <v>138.61909499999999</v>
      </c>
      <c r="AG63" s="38">
        <v>138.32865899999999</v>
      </c>
      <c r="AH63" s="38">
        <v>138.09227000000001</v>
      </c>
      <c r="AI63" s="39">
        <v>3.7209999999999999E-3</v>
      </c>
    </row>
    <row r="64" spans="1:37" ht="15" customHeight="1" x14ac:dyDescent="0.35">
      <c r="A64" s="19"/>
      <c r="B64" s="41"/>
      <c r="C64" s="36"/>
      <c r="D64" s="36"/>
      <c r="E64" s="36"/>
      <c r="F64" s="36"/>
      <c r="G64" s="36"/>
      <c r="H64" s="36"/>
      <c r="I64" s="36"/>
      <c r="J64" s="36"/>
      <c r="K64" s="36"/>
      <c r="L64" s="36"/>
      <c r="M64" s="36"/>
      <c r="N64" s="36"/>
      <c r="O64" s="36"/>
      <c r="P64" s="36"/>
      <c r="Q64" s="36"/>
      <c r="R64" s="36"/>
      <c r="S64" s="36"/>
      <c r="T64" s="36"/>
      <c r="U64" s="36"/>
      <c r="V64" s="36"/>
      <c r="W64" s="36"/>
      <c r="X64" s="36"/>
      <c r="Y64" s="36"/>
      <c r="Z64" s="36"/>
      <c r="AA64" s="36"/>
      <c r="AB64" s="36"/>
      <c r="AC64" s="36"/>
      <c r="AD64" s="36"/>
      <c r="AE64" s="36"/>
      <c r="AF64" s="36"/>
      <c r="AG64" s="36"/>
      <c r="AH64" s="36"/>
      <c r="AI64" s="36"/>
      <c r="AJ64" s="36"/>
      <c r="AK64" s="37"/>
    </row>
    <row r="65" spans="1:37" ht="15" customHeight="1" x14ac:dyDescent="0.35">
      <c r="A65" s="29" t="s">
        <v>621</v>
      </c>
      <c r="B65" s="32" t="s">
        <v>622</v>
      </c>
      <c r="C65" s="38">
        <v>256.96911599999999</v>
      </c>
      <c r="D65" s="38">
        <v>258.605164</v>
      </c>
      <c r="E65" s="38">
        <v>260.16345200000001</v>
      </c>
      <c r="F65" s="38">
        <v>261.70715300000001</v>
      </c>
      <c r="G65" s="38">
        <v>263.47491500000001</v>
      </c>
      <c r="H65" s="38">
        <v>265.41369600000002</v>
      </c>
      <c r="I65" s="38">
        <v>267.40747099999999</v>
      </c>
      <c r="J65" s="38">
        <v>269.337311</v>
      </c>
      <c r="K65" s="38">
        <v>271.13510100000002</v>
      </c>
      <c r="L65" s="38">
        <v>272.70480300000003</v>
      </c>
      <c r="M65" s="38">
        <v>274.04107699999997</v>
      </c>
      <c r="N65" s="38">
        <v>275.145691</v>
      </c>
      <c r="O65" s="38">
        <v>276.040863</v>
      </c>
      <c r="P65" s="38">
        <v>276.77697799999999</v>
      </c>
      <c r="Q65" s="38">
        <v>277.37558000000001</v>
      </c>
      <c r="R65" s="38">
        <v>277.857056</v>
      </c>
      <c r="S65" s="38">
        <v>278.28686499999998</v>
      </c>
      <c r="T65" s="38">
        <v>278.73770100000002</v>
      </c>
      <c r="U65" s="38">
        <v>279.23611499999998</v>
      </c>
      <c r="V65" s="38">
        <v>279.82174700000002</v>
      </c>
      <c r="W65" s="38">
        <v>280.486267</v>
      </c>
      <c r="X65" s="38">
        <v>281.21313500000002</v>
      </c>
      <c r="Y65" s="38">
        <v>282.01962300000002</v>
      </c>
      <c r="Z65" s="38">
        <v>282.89492799999999</v>
      </c>
      <c r="AA65" s="38">
        <v>283.79098499999998</v>
      </c>
      <c r="AB65" s="38">
        <v>284.74877900000001</v>
      </c>
      <c r="AC65" s="38">
        <v>285.77401700000001</v>
      </c>
      <c r="AD65" s="38">
        <v>286.858948</v>
      </c>
      <c r="AE65" s="38">
        <v>287.980164</v>
      </c>
      <c r="AF65" s="38">
        <v>289.147583</v>
      </c>
      <c r="AG65" s="38">
        <v>290.33142099999998</v>
      </c>
      <c r="AH65" s="38">
        <v>291.54406699999998</v>
      </c>
      <c r="AI65" s="39">
        <v>4.0800000000000003E-3</v>
      </c>
      <c r="AJ65" s="40"/>
      <c r="AK65" s="39"/>
    </row>
    <row r="66" spans="1:37" ht="15" customHeight="1" thickBot="1" x14ac:dyDescent="0.4">
      <c r="A66" s="25"/>
      <c r="B66" s="25"/>
      <c r="C66" s="25"/>
      <c r="D66" s="25"/>
      <c r="E66" s="25"/>
      <c r="F66" s="25"/>
      <c r="G66" s="25"/>
      <c r="H66" s="25"/>
      <c r="I66" s="25"/>
      <c r="J66" s="25"/>
      <c r="K66" s="25"/>
      <c r="L66" s="25"/>
      <c r="M66" s="25"/>
      <c r="N66" s="25"/>
      <c r="O66" s="25"/>
      <c r="P66" s="25"/>
      <c r="Q66" s="25"/>
      <c r="R66" s="25"/>
      <c r="S66" s="25"/>
      <c r="T66" s="25"/>
      <c r="U66" s="25"/>
      <c r="V66" s="25"/>
      <c r="W66" s="25"/>
      <c r="X66" s="25"/>
      <c r="Y66" s="25"/>
      <c r="Z66" s="25"/>
      <c r="AA66" s="25"/>
      <c r="AB66" s="25"/>
      <c r="AC66" s="25"/>
      <c r="AD66" s="25"/>
      <c r="AE66" s="25"/>
      <c r="AF66" s="25"/>
      <c r="AG66" s="25"/>
      <c r="AH66" s="25"/>
      <c r="AI66" s="25"/>
    </row>
    <row r="67" spans="1:37" ht="15" customHeight="1" x14ac:dyDescent="0.35">
      <c r="A67" s="25"/>
      <c r="B67" s="197" t="s">
        <v>623</v>
      </c>
      <c r="C67" s="197"/>
      <c r="D67" s="197"/>
      <c r="E67" s="197"/>
      <c r="F67" s="197"/>
      <c r="G67" s="197"/>
      <c r="H67" s="197"/>
      <c r="I67" s="197"/>
      <c r="J67" s="197"/>
      <c r="K67" s="197"/>
      <c r="L67" s="197"/>
      <c r="M67" s="197"/>
      <c r="N67" s="197"/>
      <c r="O67" s="197"/>
      <c r="P67" s="197"/>
      <c r="Q67" s="197"/>
      <c r="R67" s="197"/>
      <c r="S67" s="197"/>
      <c r="T67" s="197"/>
      <c r="U67" s="197"/>
      <c r="V67" s="197"/>
      <c r="W67" s="197"/>
      <c r="X67" s="197"/>
      <c r="Y67" s="197"/>
      <c r="Z67" s="197"/>
      <c r="AA67" s="197"/>
      <c r="AB67" s="197"/>
      <c r="AC67" s="197"/>
      <c r="AD67" s="197"/>
      <c r="AE67" s="197"/>
      <c r="AF67" s="197"/>
      <c r="AG67" s="197"/>
      <c r="AH67" s="197"/>
      <c r="AI67" s="197"/>
      <c r="AJ67" s="36"/>
      <c r="AK67" s="37"/>
    </row>
    <row r="68" spans="1:37" ht="15" customHeight="1" x14ac:dyDescent="0.35">
      <c r="A68" s="25"/>
      <c r="B68" s="42" t="s">
        <v>385</v>
      </c>
      <c r="C68" s="25"/>
      <c r="D68" s="25"/>
      <c r="E68" s="25"/>
      <c r="F68" s="25"/>
      <c r="G68" s="25"/>
      <c r="H68" s="25"/>
      <c r="I68" s="25"/>
      <c r="J68" s="25"/>
      <c r="K68" s="25"/>
      <c r="L68" s="25"/>
      <c r="M68" s="25"/>
      <c r="N68" s="25"/>
      <c r="O68" s="25"/>
      <c r="P68" s="25"/>
      <c r="Q68" s="25"/>
      <c r="R68" s="25"/>
      <c r="S68" s="25"/>
      <c r="T68" s="25"/>
      <c r="U68" s="25"/>
      <c r="V68" s="25"/>
      <c r="W68" s="25"/>
      <c r="X68" s="25"/>
      <c r="Y68" s="25"/>
      <c r="Z68" s="25"/>
      <c r="AA68" s="25"/>
      <c r="AB68" s="25"/>
      <c r="AC68" s="25"/>
      <c r="AD68" s="25"/>
      <c r="AE68" s="25"/>
      <c r="AF68" s="25"/>
      <c r="AG68" s="25"/>
      <c r="AH68" s="25"/>
      <c r="AI68" s="25"/>
      <c r="AJ68" s="36"/>
      <c r="AK68" s="37"/>
    </row>
    <row r="69" spans="1:37" ht="15" customHeight="1" x14ac:dyDescent="0.35">
      <c r="A69" s="25"/>
      <c r="B69" s="42" t="s">
        <v>384</v>
      </c>
      <c r="C69" s="25"/>
      <c r="D69" s="25"/>
      <c r="E69" s="25"/>
      <c r="F69" s="25"/>
      <c r="G69" s="25"/>
      <c r="H69" s="25"/>
      <c r="I69" s="25"/>
      <c r="J69" s="25"/>
      <c r="K69" s="25"/>
      <c r="L69" s="25"/>
      <c r="M69" s="25"/>
      <c r="N69" s="25"/>
      <c r="O69" s="25"/>
      <c r="P69" s="25"/>
      <c r="Q69" s="25"/>
      <c r="R69" s="25"/>
      <c r="S69" s="25"/>
      <c r="T69" s="25"/>
      <c r="U69" s="25"/>
      <c r="V69" s="25"/>
      <c r="W69" s="25"/>
      <c r="X69" s="25"/>
      <c r="Y69" s="25"/>
      <c r="Z69" s="25"/>
      <c r="AA69" s="25"/>
      <c r="AB69" s="25"/>
      <c r="AC69" s="25"/>
      <c r="AD69" s="25"/>
      <c r="AE69" s="25"/>
      <c r="AF69" s="25"/>
      <c r="AG69" s="25"/>
      <c r="AH69" s="25"/>
      <c r="AI69" s="25"/>
      <c r="AJ69" s="36"/>
      <c r="AK69" s="37"/>
    </row>
    <row r="70" spans="1:37" ht="15" customHeight="1" x14ac:dyDescent="0.35">
      <c r="A70" s="25"/>
      <c r="B70" s="42" t="s">
        <v>383</v>
      </c>
      <c r="C70" s="25"/>
      <c r="D70" s="25"/>
      <c r="E70" s="25"/>
      <c r="F70" s="25"/>
      <c r="G70" s="25"/>
      <c r="H70" s="25"/>
      <c r="I70" s="25"/>
      <c r="J70" s="25"/>
      <c r="K70" s="25"/>
      <c r="L70" s="25"/>
      <c r="M70" s="25"/>
      <c r="N70" s="25"/>
      <c r="O70" s="25"/>
      <c r="P70" s="25"/>
      <c r="Q70" s="25"/>
      <c r="R70" s="25"/>
      <c r="S70" s="25"/>
      <c r="T70" s="25"/>
      <c r="U70" s="25"/>
      <c r="V70" s="25"/>
      <c r="W70" s="25"/>
      <c r="X70" s="25"/>
      <c r="Y70" s="25"/>
      <c r="Z70" s="25"/>
      <c r="AA70" s="25"/>
      <c r="AB70" s="25"/>
      <c r="AC70" s="25"/>
      <c r="AD70" s="25"/>
      <c r="AE70" s="25"/>
      <c r="AF70" s="25"/>
      <c r="AG70" s="25"/>
      <c r="AH70" s="25"/>
      <c r="AI70" s="25"/>
    </row>
    <row r="71" spans="1:37" ht="15" customHeight="1" x14ac:dyDescent="0.35">
      <c r="A71" s="25"/>
      <c r="B71" s="42" t="s">
        <v>624</v>
      </c>
      <c r="C71" s="25"/>
      <c r="D71" s="25"/>
      <c r="E71" s="25"/>
      <c r="F71" s="25"/>
      <c r="G71" s="25"/>
      <c r="H71" s="25"/>
      <c r="I71" s="25"/>
      <c r="J71" s="25"/>
      <c r="K71" s="25"/>
      <c r="L71" s="25"/>
      <c r="M71" s="25"/>
      <c r="N71" s="25"/>
      <c r="O71" s="25"/>
      <c r="P71" s="25"/>
      <c r="Q71" s="25"/>
      <c r="R71" s="25"/>
      <c r="S71" s="25"/>
      <c r="T71" s="25"/>
      <c r="U71" s="25"/>
      <c r="V71" s="25"/>
      <c r="W71" s="25"/>
      <c r="X71" s="25"/>
      <c r="Y71" s="25"/>
      <c r="Z71" s="25"/>
      <c r="AA71" s="25"/>
      <c r="AB71" s="25"/>
      <c r="AC71" s="25"/>
      <c r="AD71" s="25"/>
      <c r="AE71" s="25"/>
      <c r="AF71" s="25"/>
      <c r="AG71" s="25"/>
      <c r="AH71" s="25"/>
      <c r="AI71" s="25"/>
    </row>
    <row r="72" spans="1:37" ht="15" customHeight="1" x14ac:dyDescent="0.35">
      <c r="A72" s="19"/>
      <c r="B72" s="41"/>
      <c r="C72" s="36"/>
      <c r="D72" s="36"/>
      <c r="E72" s="36"/>
      <c r="F72" s="36"/>
      <c r="G72" s="36"/>
      <c r="H72" s="36"/>
      <c r="I72" s="36"/>
      <c r="J72" s="36"/>
      <c r="K72" s="36"/>
      <c r="L72" s="36"/>
      <c r="M72" s="36"/>
      <c r="N72" s="36"/>
      <c r="O72" s="36"/>
      <c r="P72" s="36"/>
      <c r="Q72" s="36"/>
      <c r="R72" s="36"/>
      <c r="S72" s="36"/>
      <c r="T72" s="36"/>
      <c r="U72" s="36"/>
      <c r="V72" s="36"/>
      <c r="W72" s="36"/>
      <c r="X72" s="36"/>
      <c r="Y72" s="36"/>
      <c r="Z72" s="36"/>
      <c r="AA72" s="36"/>
      <c r="AB72" s="36"/>
      <c r="AC72" s="36"/>
      <c r="AD72" s="36"/>
      <c r="AE72" s="36"/>
      <c r="AF72" s="36"/>
      <c r="AG72" s="36"/>
      <c r="AH72" s="36"/>
      <c r="AI72" s="36"/>
      <c r="AJ72" s="36"/>
      <c r="AK72" s="37"/>
    </row>
    <row r="73" spans="1:37" ht="15" customHeight="1" x14ac:dyDescent="0.35">
      <c r="A73" s="19"/>
      <c r="B73" s="41"/>
      <c r="C73" s="36"/>
      <c r="D73" s="36"/>
      <c r="E73" s="36"/>
      <c r="F73" s="36"/>
      <c r="G73" s="36"/>
      <c r="H73" s="36"/>
      <c r="I73" s="36"/>
      <c r="J73" s="36"/>
      <c r="K73" s="36"/>
      <c r="L73" s="36"/>
      <c r="M73" s="36"/>
      <c r="N73" s="36"/>
      <c r="O73" s="36"/>
      <c r="P73" s="36"/>
      <c r="Q73" s="36"/>
      <c r="R73" s="36"/>
      <c r="S73" s="36"/>
      <c r="T73" s="36"/>
      <c r="U73" s="36"/>
      <c r="V73" s="36"/>
      <c r="W73" s="36"/>
      <c r="X73" s="36"/>
      <c r="Y73" s="36"/>
      <c r="Z73" s="36"/>
      <c r="AA73" s="36"/>
      <c r="AB73" s="36"/>
      <c r="AC73" s="36"/>
      <c r="AD73" s="36"/>
      <c r="AE73" s="36"/>
      <c r="AF73" s="36"/>
      <c r="AG73" s="36"/>
      <c r="AH73" s="36"/>
      <c r="AI73" s="36"/>
      <c r="AJ73" s="36"/>
      <c r="AK73" s="37"/>
    </row>
    <row r="74" spans="1:37" ht="15" customHeight="1" x14ac:dyDescent="0.35">
      <c r="A74" s="19"/>
      <c r="B74" s="41"/>
      <c r="C74" s="36"/>
      <c r="D74" s="36"/>
      <c r="E74" s="36"/>
      <c r="F74" s="36"/>
      <c r="G74" s="36"/>
      <c r="H74" s="36"/>
      <c r="I74" s="36"/>
      <c r="J74" s="36"/>
      <c r="K74" s="36"/>
      <c r="L74" s="36"/>
      <c r="M74" s="36"/>
      <c r="N74" s="36"/>
      <c r="O74" s="36"/>
      <c r="P74" s="36"/>
      <c r="Q74" s="36"/>
      <c r="R74" s="36"/>
      <c r="S74" s="36"/>
      <c r="T74" s="36"/>
      <c r="U74" s="36"/>
      <c r="V74" s="36"/>
      <c r="W74" s="36"/>
      <c r="X74" s="36"/>
      <c r="Y74" s="36"/>
      <c r="Z74" s="36"/>
      <c r="AA74" s="36"/>
      <c r="AB74" s="36"/>
      <c r="AC74" s="36"/>
      <c r="AD74" s="36"/>
      <c r="AE74" s="36"/>
      <c r="AF74" s="36"/>
      <c r="AG74" s="36"/>
      <c r="AH74" s="36"/>
      <c r="AI74" s="36"/>
      <c r="AJ74" s="36"/>
      <c r="AK74" s="37"/>
    </row>
    <row r="75" spans="1:37" ht="15" customHeight="1" x14ac:dyDescent="0.35">
      <c r="A75" s="19"/>
      <c r="B75" s="41"/>
      <c r="C75" s="36"/>
      <c r="D75" s="36"/>
      <c r="E75" s="36"/>
      <c r="F75" s="36"/>
      <c r="G75" s="36"/>
      <c r="H75" s="36"/>
      <c r="I75" s="36"/>
      <c r="J75" s="36"/>
      <c r="K75" s="36"/>
      <c r="L75" s="36"/>
      <c r="M75" s="36"/>
      <c r="N75" s="36"/>
      <c r="O75" s="36"/>
      <c r="P75" s="36"/>
      <c r="Q75" s="36"/>
      <c r="R75" s="36"/>
      <c r="S75" s="36"/>
      <c r="T75" s="36"/>
      <c r="U75" s="36"/>
      <c r="V75" s="36"/>
      <c r="W75" s="36"/>
      <c r="X75" s="36"/>
      <c r="Y75" s="36"/>
      <c r="Z75" s="36"/>
      <c r="AA75" s="36"/>
      <c r="AB75" s="36"/>
      <c r="AC75" s="36"/>
      <c r="AD75" s="36"/>
      <c r="AE75" s="36"/>
      <c r="AF75" s="36"/>
      <c r="AG75" s="36"/>
      <c r="AH75" s="36"/>
      <c r="AI75" s="36"/>
      <c r="AJ75" s="36"/>
      <c r="AK75" s="37"/>
    </row>
    <row r="76" spans="1:37" ht="15" customHeight="1" x14ac:dyDescent="0.35">
      <c r="A76" s="19"/>
      <c r="B76" s="41"/>
      <c r="C76" s="36"/>
      <c r="D76" s="36"/>
      <c r="E76" s="36"/>
      <c r="F76" s="36"/>
      <c r="G76" s="36"/>
      <c r="H76" s="36"/>
      <c r="I76" s="36"/>
      <c r="J76" s="36"/>
      <c r="K76" s="36"/>
      <c r="L76" s="36"/>
      <c r="M76" s="36"/>
      <c r="N76" s="36"/>
      <c r="O76" s="36"/>
      <c r="P76" s="36"/>
      <c r="Q76" s="36"/>
      <c r="R76" s="36"/>
      <c r="S76" s="36"/>
      <c r="T76" s="36"/>
      <c r="U76" s="36"/>
      <c r="V76" s="36"/>
      <c r="W76" s="36"/>
      <c r="X76" s="36"/>
      <c r="Y76" s="36"/>
      <c r="Z76" s="36"/>
      <c r="AA76" s="36"/>
      <c r="AB76" s="36"/>
      <c r="AC76" s="36"/>
      <c r="AD76" s="36"/>
      <c r="AE76" s="36"/>
      <c r="AF76" s="36"/>
      <c r="AG76" s="36"/>
      <c r="AH76" s="36"/>
      <c r="AI76" s="36"/>
      <c r="AJ76" s="36"/>
      <c r="AK76" s="37"/>
    </row>
    <row r="77" spans="1:37" ht="15" customHeight="1" x14ac:dyDescent="0.35">
      <c r="A77" s="19"/>
      <c r="B77" s="41"/>
      <c r="C77" s="36"/>
      <c r="D77" s="36"/>
      <c r="E77" s="36"/>
      <c r="F77" s="36"/>
      <c r="G77" s="36"/>
      <c r="H77" s="36"/>
      <c r="I77" s="36"/>
      <c r="J77" s="36"/>
      <c r="K77" s="36"/>
      <c r="L77" s="36"/>
      <c r="M77" s="36"/>
      <c r="N77" s="36"/>
      <c r="O77" s="36"/>
      <c r="P77" s="36"/>
      <c r="Q77" s="36"/>
      <c r="R77" s="36"/>
      <c r="S77" s="36"/>
      <c r="T77" s="36"/>
      <c r="U77" s="36"/>
      <c r="V77" s="36"/>
      <c r="W77" s="36"/>
      <c r="X77" s="36"/>
      <c r="Y77" s="36"/>
      <c r="Z77" s="36"/>
      <c r="AA77" s="36"/>
      <c r="AB77" s="36"/>
      <c r="AC77" s="36"/>
      <c r="AD77" s="36"/>
      <c r="AE77" s="36"/>
      <c r="AF77" s="36"/>
      <c r="AG77" s="36"/>
      <c r="AH77" s="36"/>
      <c r="AI77" s="36"/>
      <c r="AJ77" s="36"/>
      <c r="AK77" s="37"/>
    </row>
    <row r="78" spans="1:37" ht="15" customHeight="1" x14ac:dyDescent="0.35">
      <c r="A78" s="19"/>
      <c r="B78" s="41"/>
      <c r="C78" s="36"/>
      <c r="D78" s="36"/>
      <c r="E78" s="36"/>
      <c r="F78" s="36"/>
      <c r="G78" s="36"/>
      <c r="H78" s="36"/>
      <c r="I78" s="36"/>
      <c r="J78" s="36"/>
      <c r="K78" s="36"/>
      <c r="L78" s="36"/>
      <c r="M78" s="36"/>
      <c r="N78" s="36"/>
      <c r="O78" s="36"/>
      <c r="P78" s="36"/>
      <c r="Q78" s="36"/>
      <c r="R78" s="36"/>
      <c r="S78" s="36"/>
      <c r="T78" s="36"/>
      <c r="U78" s="36"/>
      <c r="V78" s="36"/>
      <c r="W78" s="36"/>
      <c r="X78" s="36"/>
      <c r="Y78" s="36"/>
      <c r="Z78" s="36"/>
      <c r="AA78" s="36"/>
      <c r="AB78" s="36"/>
      <c r="AC78" s="36"/>
      <c r="AD78" s="36"/>
      <c r="AE78" s="36"/>
      <c r="AF78" s="36"/>
      <c r="AG78" s="36"/>
      <c r="AH78" s="36"/>
      <c r="AI78" s="36"/>
      <c r="AJ78" s="36"/>
      <c r="AK78" s="37"/>
    </row>
    <row r="79" spans="1:37" ht="15" customHeight="1" x14ac:dyDescent="0.35">
      <c r="A79" s="19"/>
      <c r="B79" s="41"/>
      <c r="C79" s="36"/>
      <c r="D79" s="36"/>
      <c r="E79" s="36"/>
      <c r="F79" s="36"/>
      <c r="G79" s="36"/>
      <c r="H79" s="36"/>
      <c r="I79" s="36"/>
      <c r="J79" s="36"/>
      <c r="K79" s="36"/>
      <c r="L79" s="36"/>
      <c r="M79" s="36"/>
      <c r="N79" s="36"/>
      <c r="O79" s="36"/>
      <c r="P79" s="36"/>
      <c r="Q79" s="36"/>
      <c r="R79" s="36"/>
      <c r="S79" s="36"/>
      <c r="T79" s="36"/>
      <c r="U79" s="36"/>
      <c r="V79" s="36"/>
      <c r="W79" s="36"/>
      <c r="X79" s="36"/>
      <c r="Y79" s="36"/>
      <c r="Z79" s="36"/>
      <c r="AA79" s="36"/>
      <c r="AB79" s="36"/>
      <c r="AC79" s="36"/>
      <c r="AD79" s="36"/>
      <c r="AE79" s="36"/>
      <c r="AF79" s="36"/>
      <c r="AG79" s="36"/>
      <c r="AH79" s="36"/>
      <c r="AI79" s="36"/>
      <c r="AJ79" s="36"/>
      <c r="AK79" s="37"/>
    </row>
    <row r="80" spans="1:37" ht="15" customHeight="1" x14ac:dyDescent="0.35">
      <c r="A80" s="19"/>
      <c r="B80" s="32"/>
      <c r="C80" s="40"/>
      <c r="D80" s="40"/>
      <c r="E80" s="40"/>
      <c r="F80" s="40"/>
      <c r="G80" s="40"/>
      <c r="H80" s="40"/>
      <c r="I80" s="40"/>
      <c r="J80" s="40"/>
      <c r="K80" s="40"/>
      <c r="L80" s="40"/>
      <c r="M80" s="40"/>
      <c r="N80" s="40"/>
      <c r="O80" s="40"/>
      <c r="P80" s="40"/>
      <c r="Q80" s="40"/>
      <c r="R80" s="40"/>
      <c r="S80" s="40"/>
      <c r="T80" s="40"/>
      <c r="U80" s="40"/>
      <c r="V80" s="40"/>
      <c r="W80" s="40"/>
      <c r="X80" s="40"/>
      <c r="Y80" s="40"/>
      <c r="Z80" s="40"/>
      <c r="AA80" s="40"/>
      <c r="AB80" s="40"/>
      <c r="AC80" s="40"/>
      <c r="AD80" s="40"/>
      <c r="AE80" s="40"/>
      <c r="AF80" s="40"/>
      <c r="AG80" s="40"/>
      <c r="AH80" s="40"/>
      <c r="AI80" s="40"/>
      <c r="AJ80" s="40"/>
      <c r="AK80" s="39"/>
    </row>
    <row r="82" spans="1:37" ht="15" customHeight="1" x14ac:dyDescent="0.35">
      <c r="A82" s="19"/>
      <c r="B82" s="41"/>
      <c r="C82" s="36"/>
      <c r="D82" s="36"/>
      <c r="E82" s="36"/>
      <c r="F82" s="36"/>
      <c r="G82" s="36"/>
      <c r="H82" s="36"/>
      <c r="I82" s="36"/>
      <c r="J82" s="36"/>
      <c r="K82" s="36"/>
      <c r="L82" s="36"/>
      <c r="M82" s="36"/>
      <c r="N82" s="36"/>
      <c r="O82" s="36"/>
      <c r="P82" s="36"/>
      <c r="Q82" s="36"/>
      <c r="R82" s="36"/>
      <c r="S82" s="36"/>
      <c r="T82" s="36"/>
      <c r="U82" s="36"/>
      <c r="V82" s="36"/>
      <c r="W82" s="36"/>
      <c r="X82" s="36"/>
      <c r="Y82" s="36"/>
      <c r="Z82" s="36"/>
      <c r="AA82" s="36"/>
      <c r="AB82" s="36"/>
      <c r="AC82" s="36"/>
      <c r="AD82" s="36"/>
      <c r="AE82" s="36"/>
      <c r="AF82" s="36"/>
      <c r="AG82" s="36"/>
      <c r="AH82" s="36"/>
      <c r="AI82" s="36"/>
      <c r="AJ82" s="36"/>
      <c r="AK82" s="37"/>
    </row>
    <row r="83" spans="1:37" ht="15" customHeight="1" x14ac:dyDescent="0.35">
      <c r="A83" s="19"/>
      <c r="B83" s="41"/>
      <c r="C83" s="36"/>
      <c r="D83" s="36"/>
      <c r="E83" s="36"/>
      <c r="F83" s="36"/>
      <c r="G83" s="36"/>
      <c r="H83" s="36"/>
      <c r="I83" s="36"/>
      <c r="J83" s="36"/>
      <c r="K83" s="36"/>
      <c r="L83" s="36"/>
      <c r="M83" s="36"/>
      <c r="N83" s="36"/>
      <c r="O83" s="36"/>
      <c r="P83" s="36"/>
      <c r="Q83" s="36"/>
      <c r="R83" s="36"/>
      <c r="S83" s="36"/>
      <c r="T83" s="36"/>
      <c r="U83" s="36"/>
      <c r="V83" s="36"/>
      <c r="W83" s="36"/>
      <c r="X83" s="36"/>
      <c r="Y83" s="36"/>
      <c r="Z83" s="36"/>
      <c r="AA83" s="36"/>
      <c r="AB83" s="36"/>
      <c r="AC83" s="36"/>
      <c r="AD83" s="36"/>
      <c r="AE83" s="36"/>
      <c r="AF83" s="36"/>
      <c r="AG83" s="36"/>
      <c r="AH83" s="36"/>
      <c r="AI83" s="36"/>
      <c r="AJ83" s="36"/>
      <c r="AK83" s="37"/>
    </row>
    <row r="85" spans="1:37" ht="15" customHeight="1" x14ac:dyDescent="0.35">
      <c r="A85" s="19"/>
      <c r="B85" s="32"/>
      <c r="C85" s="40"/>
      <c r="D85" s="40"/>
      <c r="E85" s="40"/>
      <c r="F85" s="40"/>
      <c r="G85" s="40"/>
      <c r="H85" s="40"/>
      <c r="I85" s="40"/>
      <c r="J85" s="40"/>
      <c r="K85" s="40"/>
      <c r="L85" s="40"/>
      <c r="M85" s="40"/>
      <c r="N85" s="40"/>
      <c r="O85" s="40"/>
      <c r="P85" s="40"/>
      <c r="Q85" s="40"/>
      <c r="R85" s="40"/>
      <c r="S85" s="40"/>
      <c r="T85" s="40"/>
      <c r="U85" s="40"/>
      <c r="V85" s="40"/>
      <c r="W85" s="40"/>
      <c r="X85" s="40"/>
      <c r="Y85" s="40"/>
      <c r="Z85" s="40"/>
      <c r="AA85" s="40"/>
      <c r="AB85" s="40"/>
      <c r="AC85" s="40"/>
      <c r="AD85" s="40"/>
      <c r="AE85" s="40"/>
      <c r="AF85" s="40"/>
      <c r="AG85" s="40"/>
      <c r="AH85" s="40"/>
      <c r="AI85" s="40"/>
      <c r="AJ85" s="40"/>
      <c r="AK85" s="39"/>
    </row>
    <row r="86" spans="1:37" ht="15" customHeight="1" thickBot="1" x14ac:dyDescent="0.4"/>
    <row r="87" spans="1:37" ht="15" customHeight="1" x14ac:dyDescent="0.35">
      <c r="B87" s="197"/>
      <c r="C87" s="197"/>
      <c r="D87" s="197"/>
      <c r="E87" s="197"/>
      <c r="F87" s="197"/>
      <c r="G87" s="197"/>
      <c r="H87" s="197"/>
      <c r="I87" s="197"/>
      <c r="J87" s="197"/>
      <c r="K87" s="197"/>
      <c r="L87" s="197"/>
      <c r="M87" s="197"/>
      <c r="N87" s="197"/>
      <c r="O87" s="197"/>
      <c r="P87" s="197"/>
      <c r="Q87" s="197"/>
      <c r="R87" s="197"/>
      <c r="S87" s="197"/>
      <c r="T87" s="197"/>
      <c r="U87" s="197"/>
      <c r="V87" s="197"/>
      <c r="W87" s="197"/>
      <c r="X87" s="197"/>
      <c r="Y87" s="197"/>
      <c r="Z87" s="197"/>
      <c r="AA87" s="197"/>
      <c r="AB87" s="197"/>
      <c r="AC87" s="197"/>
      <c r="AD87" s="197"/>
      <c r="AE87" s="197"/>
      <c r="AF87" s="197"/>
      <c r="AG87" s="197"/>
      <c r="AH87" s="197"/>
      <c r="AI87" s="197"/>
      <c r="AJ87" s="197"/>
      <c r="AK87" s="197"/>
    </row>
    <row r="88" spans="1:37" ht="15" customHeight="1" x14ac:dyDescent="0.35">
      <c r="B88" s="20"/>
    </row>
    <row r="89" spans="1:37" ht="15" customHeight="1" x14ac:dyDescent="0.35">
      <c r="B89" s="20"/>
    </row>
    <row r="90" spans="1:37" ht="15" customHeight="1" x14ac:dyDescent="0.35">
      <c r="B90" s="20"/>
    </row>
    <row r="91" spans="1:37" ht="15" customHeight="1" x14ac:dyDescent="0.35">
      <c r="B91" s="20"/>
    </row>
    <row r="92" spans="1:37" ht="15" customHeight="1" x14ac:dyDescent="0.35">
      <c r="B92" s="20"/>
    </row>
    <row r="93" spans="1:37" ht="15" customHeight="1" x14ac:dyDescent="0.35">
      <c r="B93" s="20"/>
    </row>
    <row r="94" spans="1:37" ht="15" customHeight="1" x14ac:dyDescent="0.35">
      <c r="B94" s="20"/>
    </row>
    <row r="95" spans="1:37" ht="15" customHeight="1" x14ac:dyDescent="0.35">
      <c r="B95" s="20"/>
    </row>
    <row r="96" spans="1:37" ht="15" customHeight="1" x14ac:dyDescent="0.35">
      <c r="B96" s="20"/>
    </row>
    <row r="97" spans="2:2" ht="15" customHeight="1" x14ac:dyDescent="0.35">
      <c r="B97" s="20"/>
    </row>
    <row r="98" spans="2:2" ht="15" customHeight="1" x14ac:dyDescent="0.35">
      <c r="B98" s="20"/>
    </row>
  </sheetData>
  <mergeCells count="2">
    <mergeCell ref="B87:AK87"/>
    <mergeCell ref="B67:AI67"/>
  </mergeCells>
  <pageMargins left="0.75" right="0.75" top="1" bottom="1" header="0.5" footer="0.5"/>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14"/>
  <dimension ref="A1:AK151"/>
  <sheetViews>
    <sheetView workbookViewId="0">
      <pane xSplit="2" ySplit="1" topLeftCell="C12" activePane="bottomRight" state="frozen"/>
      <selection pane="topRight" activeCell="C1" sqref="C1"/>
      <selection pane="bottomLeft" activeCell="A2" sqref="A2"/>
      <selection pane="bottomRight" activeCell="C79" sqref="C79"/>
    </sheetView>
  </sheetViews>
  <sheetFormatPr defaultRowHeight="15" customHeight="1" x14ac:dyDescent="0.35"/>
  <cols>
    <col min="1" max="1" width="13.81640625" customWidth="1"/>
    <col min="2" max="2" width="45.7265625" customWidth="1"/>
  </cols>
  <sheetData>
    <row r="1" spans="1:37" ht="15" customHeight="1" thickBot="1" x14ac:dyDescent="0.4">
      <c r="A1" s="25"/>
      <c r="B1" s="26" t="s">
        <v>570</v>
      </c>
      <c r="C1" s="27">
        <v>2019</v>
      </c>
      <c r="D1" s="27">
        <v>2020</v>
      </c>
      <c r="E1" s="27">
        <v>2021</v>
      </c>
      <c r="F1" s="27">
        <v>2022</v>
      </c>
      <c r="G1" s="27">
        <v>2023</v>
      </c>
      <c r="H1" s="27">
        <v>2024</v>
      </c>
      <c r="I1" s="27">
        <v>2025</v>
      </c>
      <c r="J1" s="27">
        <v>2026</v>
      </c>
      <c r="K1" s="27">
        <v>2027</v>
      </c>
      <c r="L1" s="27">
        <v>2028</v>
      </c>
      <c r="M1" s="27">
        <v>2029</v>
      </c>
      <c r="N1" s="27">
        <v>2030</v>
      </c>
      <c r="O1" s="27">
        <v>2031</v>
      </c>
      <c r="P1" s="27">
        <v>2032</v>
      </c>
      <c r="Q1" s="27">
        <v>2033</v>
      </c>
      <c r="R1" s="27">
        <v>2034</v>
      </c>
      <c r="S1" s="27">
        <v>2035</v>
      </c>
      <c r="T1" s="27">
        <v>2036</v>
      </c>
      <c r="U1" s="27">
        <v>2037</v>
      </c>
      <c r="V1" s="27">
        <v>2038</v>
      </c>
      <c r="W1" s="27">
        <v>2039</v>
      </c>
      <c r="X1" s="27">
        <v>2040</v>
      </c>
      <c r="Y1" s="27">
        <v>2041</v>
      </c>
      <c r="Z1" s="27">
        <v>2042</v>
      </c>
      <c r="AA1" s="27">
        <v>2043</v>
      </c>
      <c r="AB1" s="27">
        <v>2044</v>
      </c>
      <c r="AC1" s="27">
        <v>2045</v>
      </c>
      <c r="AD1" s="27">
        <v>2046</v>
      </c>
      <c r="AE1" s="27">
        <v>2047</v>
      </c>
      <c r="AF1" s="27">
        <v>2048</v>
      </c>
      <c r="AG1" s="27">
        <v>2049</v>
      </c>
      <c r="AH1" s="27">
        <v>2050</v>
      </c>
      <c r="AI1" s="25"/>
      <c r="AJ1" s="27"/>
    </row>
    <row r="2" spans="1:37" ht="15" customHeight="1" thickTop="1" x14ac:dyDescent="0.35">
      <c r="A2" s="25"/>
      <c r="B2" s="25"/>
      <c r="C2" s="25"/>
      <c r="D2" s="25"/>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row>
    <row r="3" spans="1:37" ht="15" customHeight="1" x14ac:dyDescent="0.35">
      <c r="A3" s="25"/>
      <c r="B3" s="25"/>
      <c r="C3" s="28" t="s">
        <v>18</v>
      </c>
      <c r="D3" s="28" t="s">
        <v>571</v>
      </c>
      <c r="E3" s="28"/>
      <c r="F3" s="28"/>
      <c r="G3" s="28"/>
      <c r="H3" s="28"/>
      <c r="I3" s="25"/>
      <c r="J3" s="25"/>
      <c r="K3" s="25"/>
      <c r="L3" s="25"/>
      <c r="M3" s="25"/>
      <c r="N3" s="25"/>
      <c r="O3" s="25"/>
      <c r="P3" s="25"/>
      <c r="Q3" s="25"/>
      <c r="R3" s="25"/>
      <c r="S3" s="25"/>
      <c r="T3" s="25"/>
      <c r="U3" s="25"/>
      <c r="V3" s="25"/>
      <c r="W3" s="25"/>
      <c r="X3" s="25"/>
      <c r="Y3" s="25"/>
      <c r="Z3" s="25"/>
      <c r="AA3" s="25"/>
      <c r="AB3" s="25"/>
      <c r="AC3" s="25"/>
      <c r="AD3" s="25"/>
      <c r="AE3" s="25"/>
      <c r="AF3" s="25"/>
      <c r="AG3" s="25"/>
      <c r="AH3" s="25"/>
      <c r="AI3" s="25"/>
    </row>
    <row r="4" spans="1:37" ht="15" customHeight="1" x14ac:dyDescent="0.35">
      <c r="A4" s="25"/>
      <c r="B4" s="25"/>
      <c r="C4" s="28" t="s">
        <v>17</v>
      </c>
      <c r="D4" s="28" t="s">
        <v>572</v>
      </c>
      <c r="E4" s="28"/>
      <c r="F4" s="28"/>
      <c r="G4" s="28" t="s">
        <v>16</v>
      </c>
      <c r="H4" s="28"/>
      <c r="I4" s="25"/>
      <c r="J4" s="25"/>
      <c r="K4" s="25"/>
      <c r="L4" s="25"/>
      <c r="M4" s="25"/>
      <c r="N4" s="25"/>
      <c r="O4" s="25"/>
      <c r="P4" s="25"/>
      <c r="Q4" s="25"/>
      <c r="R4" s="25"/>
      <c r="S4" s="25"/>
      <c r="T4" s="25"/>
      <c r="U4" s="25"/>
      <c r="V4" s="25"/>
      <c r="W4" s="25"/>
      <c r="X4" s="25"/>
      <c r="Y4" s="25"/>
      <c r="Z4" s="25"/>
      <c r="AA4" s="25"/>
      <c r="AB4" s="25"/>
      <c r="AC4" s="25"/>
      <c r="AD4" s="25"/>
      <c r="AE4" s="25"/>
      <c r="AF4" s="25"/>
      <c r="AG4" s="25"/>
      <c r="AH4" s="25"/>
      <c r="AI4" s="25"/>
    </row>
    <row r="5" spans="1:37" ht="15" customHeight="1" x14ac:dyDescent="0.35">
      <c r="A5" s="25"/>
      <c r="B5" s="25"/>
      <c r="C5" s="28" t="s">
        <v>15</v>
      </c>
      <c r="D5" s="28" t="s">
        <v>573</v>
      </c>
      <c r="E5" s="28"/>
      <c r="F5" s="28"/>
      <c r="G5" s="28"/>
      <c r="H5" s="28"/>
      <c r="I5" s="25"/>
      <c r="J5" s="25"/>
      <c r="K5" s="25"/>
      <c r="L5" s="25"/>
      <c r="M5" s="25"/>
      <c r="N5" s="25"/>
      <c r="O5" s="25"/>
      <c r="P5" s="25"/>
      <c r="Q5" s="25"/>
      <c r="R5" s="25"/>
      <c r="S5" s="25"/>
      <c r="T5" s="25"/>
      <c r="U5" s="25"/>
      <c r="V5" s="25"/>
      <c r="W5" s="25"/>
      <c r="X5" s="25"/>
      <c r="Y5" s="25"/>
      <c r="Z5" s="25"/>
      <c r="AA5" s="25"/>
      <c r="AB5" s="25"/>
      <c r="AC5" s="25"/>
      <c r="AD5" s="25"/>
      <c r="AE5" s="25"/>
      <c r="AF5" s="25"/>
      <c r="AG5" s="25"/>
      <c r="AH5" s="25"/>
      <c r="AI5" s="25"/>
    </row>
    <row r="6" spans="1:37" ht="15" customHeight="1" x14ac:dyDescent="0.35">
      <c r="A6" s="25"/>
      <c r="B6" s="25"/>
      <c r="C6" s="28" t="s">
        <v>14</v>
      </c>
      <c r="D6" s="28"/>
      <c r="E6" s="28" t="s">
        <v>574</v>
      </c>
      <c r="F6" s="28"/>
      <c r="G6" s="28"/>
      <c r="H6" s="28"/>
      <c r="I6" s="25"/>
      <c r="J6" s="25"/>
      <c r="K6" s="25"/>
      <c r="L6" s="25"/>
      <c r="M6" s="25"/>
      <c r="N6" s="25"/>
      <c r="O6" s="25"/>
      <c r="P6" s="25"/>
      <c r="Q6" s="25"/>
      <c r="R6" s="25"/>
      <c r="S6" s="25"/>
      <c r="T6" s="25"/>
      <c r="U6" s="25"/>
      <c r="V6" s="25"/>
      <c r="W6" s="25"/>
      <c r="X6" s="25"/>
      <c r="Y6" s="25"/>
      <c r="Z6" s="25"/>
      <c r="AA6" s="25"/>
      <c r="AB6" s="25"/>
      <c r="AC6" s="25"/>
      <c r="AD6" s="25"/>
      <c r="AE6" s="25"/>
      <c r="AF6" s="25"/>
      <c r="AG6" s="25"/>
      <c r="AH6" s="25"/>
      <c r="AI6" s="25"/>
    </row>
    <row r="10" spans="1:37" ht="15" customHeight="1" x14ac:dyDescent="0.35">
      <c r="A10" s="29" t="s">
        <v>537</v>
      </c>
      <c r="B10" s="30" t="s">
        <v>625</v>
      </c>
      <c r="C10" s="25"/>
      <c r="D10" s="25"/>
      <c r="E10" s="25"/>
      <c r="F10" s="25"/>
      <c r="G10" s="25"/>
      <c r="H10" s="25"/>
      <c r="I10" s="25"/>
      <c r="J10" s="25"/>
      <c r="K10" s="25"/>
      <c r="L10" s="25"/>
      <c r="M10" s="25"/>
      <c r="N10" s="25"/>
      <c r="O10" s="25"/>
      <c r="P10" s="25"/>
      <c r="Q10" s="25"/>
      <c r="R10" s="25"/>
      <c r="S10" s="25"/>
      <c r="T10" s="25"/>
      <c r="U10" s="25"/>
      <c r="V10" s="25"/>
      <c r="W10" s="25"/>
      <c r="X10" s="25"/>
      <c r="Y10" s="25"/>
      <c r="Z10" s="25"/>
      <c r="AA10" s="25"/>
      <c r="AB10" s="25"/>
      <c r="AC10" s="25"/>
      <c r="AD10" s="25"/>
      <c r="AE10" s="25"/>
      <c r="AF10" s="25"/>
      <c r="AG10" s="25"/>
      <c r="AH10" s="25"/>
      <c r="AI10" s="25"/>
    </row>
    <row r="11" spans="1:37" ht="15" customHeight="1" x14ac:dyDescent="0.35">
      <c r="A11" s="25"/>
      <c r="B11" s="26" t="s">
        <v>13</v>
      </c>
      <c r="C11" s="25"/>
      <c r="D11" s="25"/>
      <c r="E11" s="25"/>
      <c r="F11" s="25"/>
      <c r="G11" s="25"/>
      <c r="H11" s="25"/>
      <c r="I11" s="25"/>
      <c r="J11" s="25"/>
      <c r="K11" s="25"/>
      <c r="L11" s="25"/>
      <c r="M11" s="25"/>
      <c r="N11" s="25"/>
      <c r="O11" s="25"/>
      <c r="P11" s="25"/>
      <c r="Q11" s="25"/>
      <c r="R11" s="25"/>
      <c r="S11" s="25"/>
      <c r="T11" s="25"/>
      <c r="U11" s="25"/>
      <c r="V11" s="25"/>
      <c r="W11" s="25"/>
      <c r="X11" s="25"/>
      <c r="Y11" s="25"/>
      <c r="Z11" s="25"/>
      <c r="AA11" s="25"/>
      <c r="AB11" s="25"/>
      <c r="AC11" s="25"/>
      <c r="AD11" s="25"/>
      <c r="AE11" s="25"/>
      <c r="AF11" s="25"/>
      <c r="AG11" s="25"/>
      <c r="AH11" s="25"/>
      <c r="AI11" s="25"/>
    </row>
    <row r="12" spans="1:37" ht="15" customHeight="1" x14ac:dyDescent="0.35">
      <c r="A12" s="25"/>
      <c r="B12" s="26" t="s">
        <v>13</v>
      </c>
      <c r="C12" s="31" t="s">
        <v>13</v>
      </c>
      <c r="D12" s="31" t="s">
        <v>13</v>
      </c>
      <c r="E12" s="31" t="s">
        <v>13</v>
      </c>
      <c r="F12" s="31" t="s">
        <v>13</v>
      </c>
      <c r="G12" s="31" t="s">
        <v>13</v>
      </c>
      <c r="H12" s="31" t="s">
        <v>13</v>
      </c>
      <c r="I12" s="31" t="s">
        <v>13</v>
      </c>
      <c r="J12" s="31" t="s">
        <v>13</v>
      </c>
      <c r="K12" s="31" t="s">
        <v>13</v>
      </c>
      <c r="L12" s="31" t="s">
        <v>13</v>
      </c>
      <c r="M12" s="31" t="s">
        <v>13</v>
      </c>
      <c r="N12" s="31" t="s">
        <v>13</v>
      </c>
      <c r="O12" s="31" t="s">
        <v>13</v>
      </c>
      <c r="P12" s="31" t="s">
        <v>13</v>
      </c>
      <c r="Q12" s="31" t="s">
        <v>13</v>
      </c>
      <c r="R12" s="31" t="s">
        <v>13</v>
      </c>
      <c r="S12" s="31" t="s">
        <v>13</v>
      </c>
      <c r="T12" s="31" t="s">
        <v>13</v>
      </c>
      <c r="U12" s="31" t="s">
        <v>13</v>
      </c>
      <c r="V12" s="31" t="s">
        <v>13</v>
      </c>
      <c r="W12" s="31" t="s">
        <v>13</v>
      </c>
      <c r="X12" s="31" t="s">
        <v>13</v>
      </c>
      <c r="Y12" s="31" t="s">
        <v>13</v>
      </c>
      <c r="Z12" s="31" t="s">
        <v>13</v>
      </c>
      <c r="AA12" s="31" t="s">
        <v>13</v>
      </c>
      <c r="AB12" s="31" t="s">
        <v>13</v>
      </c>
      <c r="AC12" s="31" t="s">
        <v>13</v>
      </c>
      <c r="AD12" s="31" t="s">
        <v>13</v>
      </c>
      <c r="AE12" s="31" t="s">
        <v>13</v>
      </c>
      <c r="AF12" s="31" t="s">
        <v>13</v>
      </c>
      <c r="AG12" s="31" t="s">
        <v>13</v>
      </c>
      <c r="AH12" s="31" t="s">
        <v>13</v>
      </c>
      <c r="AI12" s="31" t="s">
        <v>578</v>
      </c>
      <c r="AJ12" s="23"/>
      <c r="AK12" s="23"/>
    </row>
    <row r="13" spans="1:37" ht="15" customHeight="1" thickBot="1" x14ac:dyDescent="0.4">
      <c r="A13" s="25"/>
      <c r="B13" s="27" t="s">
        <v>536</v>
      </c>
      <c r="C13" s="27">
        <v>2019</v>
      </c>
      <c r="D13" s="27">
        <v>2020</v>
      </c>
      <c r="E13" s="27">
        <v>2021</v>
      </c>
      <c r="F13" s="27">
        <v>2022</v>
      </c>
      <c r="G13" s="27">
        <v>2023</v>
      </c>
      <c r="H13" s="27">
        <v>2024</v>
      </c>
      <c r="I13" s="27">
        <v>2025</v>
      </c>
      <c r="J13" s="27">
        <v>2026</v>
      </c>
      <c r="K13" s="27">
        <v>2027</v>
      </c>
      <c r="L13" s="27">
        <v>2028</v>
      </c>
      <c r="M13" s="27">
        <v>2029</v>
      </c>
      <c r="N13" s="27">
        <v>2030</v>
      </c>
      <c r="O13" s="27">
        <v>2031</v>
      </c>
      <c r="P13" s="27">
        <v>2032</v>
      </c>
      <c r="Q13" s="27">
        <v>2033</v>
      </c>
      <c r="R13" s="27">
        <v>2034</v>
      </c>
      <c r="S13" s="27">
        <v>2035</v>
      </c>
      <c r="T13" s="27">
        <v>2036</v>
      </c>
      <c r="U13" s="27">
        <v>2037</v>
      </c>
      <c r="V13" s="27">
        <v>2038</v>
      </c>
      <c r="W13" s="27">
        <v>2039</v>
      </c>
      <c r="X13" s="27">
        <v>2040</v>
      </c>
      <c r="Y13" s="27">
        <v>2041</v>
      </c>
      <c r="Z13" s="27">
        <v>2042</v>
      </c>
      <c r="AA13" s="27">
        <v>2043</v>
      </c>
      <c r="AB13" s="27">
        <v>2044</v>
      </c>
      <c r="AC13" s="27">
        <v>2045</v>
      </c>
      <c r="AD13" s="27">
        <v>2046</v>
      </c>
      <c r="AE13" s="27">
        <v>2047</v>
      </c>
      <c r="AF13" s="27">
        <v>2048</v>
      </c>
      <c r="AG13" s="27">
        <v>2049</v>
      </c>
      <c r="AH13" s="27">
        <v>2050</v>
      </c>
      <c r="AI13" s="27">
        <v>2050</v>
      </c>
      <c r="AJ13" s="27"/>
      <c r="AK13" s="27"/>
    </row>
    <row r="14" spans="1:37" ht="15" customHeight="1" thickTop="1" x14ac:dyDescent="0.35">
      <c r="A14" s="25"/>
      <c r="B14" s="25"/>
      <c r="C14" s="25"/>
      <c r="D14" s="25"/>
      <c r="E14" s="25"/>
      <c r="F14" s="25"/>
      <c r="G14" s="25"/>
      <c r="H14" s="25"/>
      <c r="I14" s="25"/>
      <c r="J14" s="25"/>
      <c r="K14" s="25"/>
      <c r="L14" s="25"/>
      <c r="M14" s="25"/>
      <c r="N14" s="25"/>
      <c r="O14" s="25"/>
      <c r="P14" s="25"/>
      <c r="Q14" s="25"/>
      <c r="R14" s="25"/>
      <c r="S14" s="25"/>
      <c r="T14" s="25"/>
      <c r="U14" s="25"/>
      <c r="V14" s="25"/>
      <c r="W14" s="25"/>
      <c r="X14" s="25"/>
      <c r="Y14" s="25"/>
      <c r="Z14" s="25"/>
      <c r="AA14" s="25"/>
      <c r="AB14" s="25"/>
      <c r="AC14" s="25"/>
      <c r="AD14" s="25"/>
      <c r="AE14" s="25"/>
      <c r="AF14" s="25"/>
      <c r="AG14" s="25"/>
      <c r="AH14" s="25"/>
      <c r="AI14" s="25"/>
    </row>
    <row r="15" spans="1:37" ht="15" customHeight="1" x14ac:dyDescent="0.35">
      <c r="A15" s="25"/>
      <c r="B15" s="32" t="s">
        <v>535</v>
      </c>
      <c r="C15" s="25"/>
      <c r="D15" s="25"/>
      <c r="E15" s="25"/>
      <c r="F15" s="25"/>
      <c r="G15" s="25"/>
      <c r="H15" s="25"/>
      <c r="I15" s="25"/>
      <c r="J15" s="25"/>
      <c r="K15" s="25"/>
      <c r="L15" s="25"/>
      <c r="M15" s="25"/>
      <c r="N15" s="25"/>
      <c r="O15" s="25"/>
      <c r="P15" s="25"/>
      <c r="Q15" s="25"/>
      <c r="R15" s="25"/>
      <c r="S15" s="25"/>
      <c r="T15" s="25"/>
      <c r="U15" s="25"/>
      <c r="V15" s="25"/>
      <c r="W15" s="25"/>
      <c r="X15" s="25"/>
      <c r="Y15" s="25"/>
      <c r="Z15" s="25"/>
      <c r="AA15" s="25"/>
      <c r="AB15" s="25"/>
      <c r="AC15" s="25"/>
      <c r="AD15" s="25"/>
      <c r="AE15" s="25"/>
      <c r="AF15" s="25"/>
      <c r="AG15" s="25"/>
      <c r="AH15" s="25"/>
      <c r="AI15" s="25"/>
    </row>
    <row r="16" spans="1:37" ht="15" customHeight="1" x14ac:dyDescent="0.35">
      <c r="A16" s="25"/>
      <c r="B16" s="32" t="s">
        <v>479</v>
      </c>
      <c r="C16" s="25"/>
      <c r="D16" s="25"/>
      <c r="E16" s="25"/>
      <c r="F16" s="25"/>
      <c r="G16" s="25"/>
      <c r="H16" s="25"/>
      <c r="I16" s="25"/>
      <c r="J16" s="25"/>
      <c r="K16" s="25"/>
      <c r="L16" s="25"/>
      <c r="M16" s="25"/>
      <c r="N16" s="25"/>
      <c r="O16" s="25"/>
      <c r="P16" s="25"/>
      <c r="Q16" s="25"/>
      <c r="R16" s="25"/>
      <c r="S16" s="25"/>
      <c r="T16" s="25"/>
      <c r="U16" s="25"/>
      <c r="V16" s="25"/>
      <c r="W16" s="25"/>
      <c r="X16" s="25"/>
      <c r="Y16" s="25"/>
      <c r="Z16" s="25"/>
      <c r="AA16" s="25"/>
      <c r="AB16" s="25"/>
      <c r="AC16" s="25"/>
      <c r="AD16" s="25"/>
      <c r="AE16" s="25"/>
      <c r="AF16" s="25"/>
      <c r="AG16" s="25"/>
      <c r="AH16" s="25"/>
      <c r="AI16" s="25"/>
    </row>
    <row r="17" spans="1:37" ht="15" customHeight="1" x14ac:dyDescent="0.35">
      <c r="A17" s="25"/>
      <c r="B17" s="32" t="s">
        <v>534</v>
      </c>
      <c r="C17" s="25"/>
      <c r="D17" s="25"/>
      <c r="E17" s="25"/>
      <c r="F17" s="25"/>
      <c r="G17" s="25"/>
      <c r="H17" s="25"/>
      <c r="I17" s="25"/>
      <c r="J17" s="25"/>
      <c r="K17" s="25"/>
      <c r="L17" s="25"/>
      <c r="M17" s="25"/>
      <c r="N17" s="25"/>
      <c r="O17" s="25"/>
      <c r="P17" s="25"/>
      <c r="Q17" s="25"/>
      <c r="R17" s="25"/>
      <c r="S17" s="25"/>
      <c r="T17" s="25"/>
      <c r="U17" s="25"/>
      <c r="V17" s="25"/>
      <c r="W17" s="25"/>
      <c r="X17" s="25"/>
      <c r="Y17" s="25"/>
      <c r="Z17" s="25"/>
      <c r="AA17" s="25"/>
      <c r="AB17" s="25"/>
      <c r="AC17" s="25"/>
      <c r="AD17" s="25"/>
      <c r="AE17" s="25"/>
      <c r="AF17" s="25"/>
      <c r="AG17" s="25"/>
      <c r="AH17" s="25"/>
      <c r="AI17" s="25"/>
    </row>
    <row r="18" spans="1:37" ht="15" customHeight="1" x14ac:dyDescent="0.35">
      <c r="A18" s="29" t="s">
        <v>533</v>
      </c>
      <c r="B18" s="33" t="s">
        <v>506</v>
      </c>
      <c r="C18" s="43">
        <v>32.889961</v>
      </c>
      <c r="D18" s="43">
        <v>33.894725999999999</v>
      </c>
      <c r="E18" s="43">
        <v>35.099060000000001</v>
      </c>
      <c r="F18" s="43">
        <v>36.618167999999997</v>
      </c>
      <c r="G18" s="43">
        <v>38.326942000000003</v>
      </c>
      <c r="H18" s="43">
        <v>39.061954</v>
      </c>
      <c r="I18" s="43">
        <v>40.161727999999997</v>
      </c>
      <c r="J18" s="43">
        <v>40.186557999999998</v>
      </c>
      <c r="K18" s="43">
        <v>40.244514000000002</v>
      </c>
      <c r="L18" s="43">
        <v>40.314751000000001</v>
      </c>
      <c r="M18" s="43">
        <v>40.375256</v>
      </c>
      <c r="N18" s="43">
        <v>40.446235999999999</v>
      </c>
      <c r="O18" s="43">
        <v>40.483677</v>
      </c>
      <c r="P18" s="43">
        <v>40.525776</v>
      </c>
      <c r="Q18" s="43">
        <v>40.564804000000002</v>
      </c>
      <c r="R18" s="43">
        <v>40.592444999999998</v>
      </c>
      <c r="S18" s="43">
        <v>40.594414</v>
      </c>
      <c r="T18" s="43">
        <v>40.552677000000003</v>
      </c>
      <c r="U18" s="43">
        <v>40.496296000000001</v>
      </c>
      <c r="V18" s="43">
        <v>40.454219999999999</v>
      </c>
      <c r="W18" s="43">
        <v>40.421970000000002</v>
      </c>
      <c r="X18" s="43">
        <v>40.381915999999997</v>
      </c>
      <c r="Y18" s="43">
        <v>40.358021000000001</v>
      </c>
      <c r="Z18" s="43">
        <v>40.340316999999999</v>
      </c>
      <c r="AA18" s="43">
        <v>40.312533999999999</v>
      </c>
      <c r="AB18" s="43">
        <v>40.285381000000001</v>
      </c>
      <c r="AC18" s="43">
        <v>40.282527999999999</v>
      </c>
      <c r="AD18" s="43">
        <v>40.253529</v>
      </c>
      <c r="AE18" s="43">
        <v>40.231502999999996</v>
      </c>
      <c r="AF18" s="43">
        <v>40.225166000000002</v>
      </c>
      <c r="AG18" s="43">
        <v>40.198521</v>
      </c>
      <c r="AH18" s="43">
        <v>40.178719000000001</v>
      </c>
      <c r="AI18" s="35">
        <v>6.4780000000000003E-3</v>
      </c>
      <c r="AJ18" s="36"/>
      <c r="AK18" s="37"/>
    </row>
    <row r="19" spans="1:37" ht="15" customHeight="1" x14ac:dyDescent="0.35">
      <c r="A19" s="29" t="s">
        <v>532</v>
      </c>
      <c r="B19" s="33" t="s">
        <v>504</v>
      </c>
      <c r="C19" s="43">
        <v>33.923518999999999</v>
      </c>
      <c r="D19" s="43">
        <v>35.311928000000002</v>
      </c>
      <c r="E19" s="43">
        <v>37.754905999999998</v>
      </c>
      <c r="F19" s="43">
        <v>40.534241000000002</v>
      </c>
      <c r="G19" s="43">
        <v>42.459842999999999</v>
      </c>
      <c r="H19" s="43">
        <v>43.392578</v>
      </c>
      <c r="I19" s="43">
        <v>44.611893000000002</v>
      </c>
      <c r="J19" s="43">
        <v>44.666325000000001</v>
      </c>
      <c r="K19" s="43">
        <v>44.625576000000002</v>
      </c>
      <c r="L19" s="43">
        <v>44.568516000000002</v>
      </c>
      <c r="M19" s="43">
        <v>44.553055000000001</v>
      </c>
      <c r="N19" s="43">
        <v>44.553890000000003</v>
      </c>
      <c r="O19" s="43">
        <v>44.516956</v>
      </c>
      <c r="P19" s="43">
        <v>44.465305000000001</v>
      </c>
      <c r="Q19" s="43">
        <v>44.407119999999999</v>
      </c>
      <c r="R19" s="43">
        <v>44.341163999999999</v>
      </c>
      <c r="S19" s="43">
        <v>44.230938000000002</v>
      </c>
      <c r="T19" s="43">
        <v>44.122456</v>
      </c>
      <c r="U19" s="43">
        <v>44.009639999999997</v>
      </c>
      <c r="V19" s="43">
        <v>43.920689000000003</v>
      </c>
      <c r="W19" s="43">
        <v>43.830871999999999</v>
      </c>
      <c r="X19" s="43">
        <v>43.733680999999997</v>
      </c>
      <c r="Y19" s="43">
        <v>43.646427000000003</v>
      </c>
      <c r="Z19" s="43">
        <v>43.570292999999999</v>
      </c>
      <c r="AA19" s="43">
        <v>43.487465</v>
      </c>
      <c r="AB19" s="43">
        <v>43.406193000000002</v>
      </c>
      <c r="AC19" s="43">
        <v>43.324252999999999</v>
      </c>
      <c r="AD19" s="43">
        <v>43.234428000000001</v>
      </c>
      <c r="AE19" s="43">
        <v>43.164149999999999</v>
      </c>
      <c r="AF19" s="43">
        <v>43.084403999999999</v>
      </c>
      <c r="AG19" s="43">
        <v>43.007998999999998</v>
      </c>
      <c r="AH19" s="43">
        <v>42.930363</v>
      </c>
      <c r="AI19" s="35">
        <v>7.6249999999999998E-3</v>
      </c>
      <c r="AJ19" s="36"/>
      <c r="AK19" s="37"/>
    </row>
    <row r="20" spans="1:37" ht="15" customHeight="1" x14ac:dyDescent="0.35">
      <c r="A20" s="29" t="s">
        <v>531</v>
      </c>
      <c r="B20" s="33" t="s">
        <v>502</v>
      </c>
      <c r="C20" s="43">
        <v>40.650410000000001</v>
      </c>
      <c r="D20" s="43">
        <v>41.613976000000001</v>
      </c>
      <c r="E20" s="43">
        <v>43.302982</v>
      </c>
      <c r="F20" s="43">
        <v>45.381115000000001</v>
      </c>
      <c r="G20" s="43">
        <v>47.430594999999997</v>
      </c>
      <c r="H20" s="43">
        <v>48.331631000000002</v>
      </c>
      <c r="I20" s="43">
        <v>50.627791999999999</v>
      </c>
      <c r="J20" s="43">
        <v>50.645457999999998</v>
      </c>
      <c r="K20" s="43">
        <v>50.587418</v>
      </c>
      <c r="L20" s="43">
        <v>50.501475999999997</v>
      </c>
      <c r="M20" s="43">
        <v>50.443156999999999</v>
      </c>
      <c r="N20" s="43">
        <v>50.455578000000003</v>
      </c>
      <c r="O20" s="43">
        <v>50.436256</v>
      </c>
      <c r="P20" s="43">
        <v>50.421028</v>
      </c>
      <c r="Q20" s="43">
        <v>50.416687000000003</v>
      </c>
      <c r="R20" s="43">
        <v>50.399723000000002</v>
      </c>
      <c r="S20" s="43">
        <v>50.324706999999997</v>
      </c>
      <c r="T20" s="43">
        <v>50.246181</v>
      </c>
      <c r="U20" s="43">
        <v>50.152572999999997</v>
      </c>
      <c r="V20" s="43">
        <v>50.056778000000001</v>
      </c>
      <c r="W20" s="43">
        <v>49.951270999999998</v>
      </c>
      <c r="X20" s="43">
        <v>49.836021000000002</v>
      </c>
      <c r="Y20" s="43">
        <v>49.732964000000003</v>
      </c>
      <c r="Z20" s="43">
        <v>49.643051</v>
      </c>
      <c r="AA20" s="43">
        <v>49.541836000000004</v>
      </c>
      <c r="AB20" s="43">
        <v>49.443061999999998</v>
      </c>
      <c r="AC20" s="43">
        <v>49.347690999999998</v>
      </c>
      <c r="AD20" s="43">
        <v>49.238585999999998</v>
      </c>
      <c r="AE20" s="43">
        <v>49.153492</v>
      </c>
      <c r="AF20" s="43">
        <v>49.059055000000001</v>
      </c>
      <c r="AG20" s="43">
        <v>48.964916000000002</v>
      </c>
      <c r="AH20" s="43">
        <v>48.868819999999999</v>
      </c>
      <c r="AI20" s="35">
        <v>5.9569999999999996E-3</v>
      </c>
      <c r="AJ20" s="36"/>
      <c r="AK20" s="37"/>
    </row>
    <row r="21" spans="1:37" ht="15" customHeight="1" x14ac:dyDescent="0.35">
      <c r="A21" s="29" t="s">
        <v>530</v>
      </c>
      <c r="B21" s="33" t="s">
        <v>500</v>
      </c>
      <c r="C21" s="43">
        <v>44.551704000000001</v>
      </c>
      <c r="D21" s="43">
        <v>45.423381999999997</v>
      </c>
      <c r="E21" s="43">
        <v>46.721885999999998</v>
      </c>
      <c r="F21" s="43">
        <v>48.356777000000001</v>
      </c>
      <c r="G21" s="43">
        <v>49.853127000000001</v>
      </c>
      <c r="H21" s="43">
        <v>51.122292000000002</v>
      </c>
      <c r="I21" s="43">
        <v>54.909092000000001</v>
      </c>
      <c r="J21" s="43">
        <v>54.946784999999998</v>
      </c>
      <c r="K21" s="43">
        <v>54.867001000000002</v>
      </c>
      <c r="L21" s="43">
        <v>54.769233999999997</v>
      </c>
      <c r="M21" s="43">
        <v>54.682549000000002</v>
      </c>
      <c r="N21" s="43">
        <v>54.669311999999998</v>
      </c>
      <c r="O21" s="43">
        <v>54.664318000000002</v>
      </c>
      <c r="P21" s="43">
        <v>54.584637000000001</v>
      </c>
      <c r="Q21" s="43">
        <v>54.519649999999999</v>
      </c>
      <c r="R21" s="43">
        <v>54.461243000000003</v>
      </c>
      <c r="S21" s="43">
        <v>54.404442000000003</v>
      </c>
      <c r="T21" s="43">
        <v>54.345547000000003</v>
      </c>
      <c r="U21" s="43">
        <v>54.229176000000002</v>
      </c>
      <c r="V21" s="43">
        <v>54.121765000000003</v>
      </c>
      <c r="W21" s="43">
        <v>54.011333</v>
      </c>
      <c r="X21" s="43">
        <v>53.893416999999999</v>
      </c>
      <c r="Y21" s="43">
        <v>53.788196999999997</v>
      </c>
      <c r="Z21" s="43">
        <v>53.695788999999998</v>
      </c>
      <c r="AA21" s="43">
        <v>53.596446999999998</v>
      </c>
      <c r="AB21" s="43">
        <v>53.499378</v>
      </c>
      <c r="AC21" s="43">
        <v>53.400374999999997</v>
      </c>
      <c r="AD21" s="43">
        <v>53.295456000000001</v>
      </c>
      <c r="AE21" s="43">
        <v>53.213757000000001</v>
      </c>
      <c r="AF21" s="43">
        <v>53.119014999999997</v>
      </c>
      <c r="AG21" s="43">
        <v>53.028854000000003</v>
      </c>
      <c r="AH21" s="43">
        <v>52.935172999999999</v>
      </c>
      <c r="AI21" s="35">
        <v>5.5770000000000004E-3</v>
      </c>
      <c r="AJ21" s="36"/>
      <c r="AK21" s="37"/>
    </row>
    <row r="22" spans="1:37" ht="15" customHeight="1" x14ac:dyDescent="0.35">
      <c r="A22" s="29" t="s">
        <v>529</v>
      </c>
      <c r="B22" s="33" t="s">
        <v>498</v>
      </c>
      <c r="C22" s="43">
        <v>38.992538000000003</v>
      </c>
      <c r="D22" s="43">
        <v>39.982532999999997</v>
      </c>
      <c r="E22" s="43">
        <v>41.559207999999998</v>
      </c>
      <c r="F22" s="43">
        <v>43.501465000000003</v>
      </c>
      <c r="G22" s="43">
        <v>45.087752999999999</v>
      </c>
      <c r="H22" s="43">
        <v>46.188434999999998</v>
      </c>
      <c r="I22" s="43">
        <v>48.950400999999999</v>
      </c>
      <c r="J22" s="43">
        <v>48.938679</v>
      </c>
      <c r="K22" s="43">
        <v>48.908763999999998</v>
      </c>
      <c r="L22" s="43">
        <v>48.872089000000003</v>
      </c>
      <c r="M22" s="43">
        <v>48.843918000000002</v>
      </c>
      <c r="N22" s="43">
        <v>48.877437999999998</v>
      </c>
      <c r="O22" s="43">
        <v>48.909992000000003</v>
      </c>
      <c r="P22" s="43">
        <v>48.951408000000001</v>
      </c>
      <c r="Q22" s="43">
        <v>48.983207999999998</v>
      </c>
      <c r="R22" s="43">
        <v>48.964348000000001</v>
      </c>
      <c r="S22" s="43">
        <v>48.939571000000001</v>
      </c>
      <c r="T22" s="43">
        <v>48.919159000000001</v>
      </c>
      <c r="U22" s="43">
        <v>48.875362000000003</v>
      </c>
      <c r="V22" s="43">
        <v>48.828547999999998</v>
      </c>
      <c r="W22" s="43">
        <v>48.786095000000003</v>
      </c>
      <c r="X22" s="43">
        <v>48.723461</v>
      </c>
      <c r="Y22" s="43">
        <v>48.665008999999998</v>
      </c>
      <c r="Z22" s="43">
        <v>48.614657999999999</v>
      </c>
      <c r="AA22" s="43">
        <v>48.550404</v>
      </c>
      <c r="AB22" s="43">
        <v>48.478167999999997</v>
      </c>
      <c r="AC22" s="43">
        <v>48.399956000000003</v>
      </c>
      <c r="AD22" s="43">
        <v>48.315044</v>
      </c>
      <c r="AE22" s="43">
        <v>48.249049999999997</v>
      </c>
      <c r="AF22" s="43">
        <v>48.176063999999997</v>
      </c>
      <c r="AG22" s="43">
        <v>48.104897000000001</v>
      </c>
      <c r="AH22" s="43">
        <v>48.032082000000003</v>
      </c>
      <c r="AI22" s="35">
        <v>6.7479999999999997E-3</v>
      </c>
      <c r="AJ22" s="36"/>
      <c r="AK22" s="37"/>
    </row>
    <row r="23" spans="1:37" ht="15" customHeight="1" x14ac:dyDescent="0.35">
      <c r="A23" s="29" t="s">
        <v>528</v>
      </c>
      <c r="B23" s="33" t="s">
        <v>496</v>
      </c>
      <c r="C23" s="43">
        <v>28.657945999999999</v>
      </c>
      <c r="D23" s="43">
        <v>29.703489000000001</v>
      </c>
      <c r="E23" s="43">
        <v>30.852295000000002</v>
      </c>
      <c r="F23" s="43">
        <v>32.044196999999997</v>
      </c>
      <c r="G23" s="43">
        <v>33.693866999999997</v>
      </c>
      <c r="H23" s="43">
        <v>34.266556000000001</v>
      </c>
      <c r="I23" s="43">
        <v>35.165866999999999</v>
      </c>
      <c r="J23" s="43">
        <v>35.221508</v>
      </c>
      <c r="K23" s="43">
        <v>35.242046000000002</v>
      </c>
      <c r="L23" s="43">
        <v>35.274456000000001</v>
      </c>
      <c r="M23" s="43">
        <v>35.280182000000003</v>
      </c>
      <c r="N23" s="43">
        <v>35.245139999999999</v>
      </c>
      <c r="O23" s="43">
        <v>35.159733000000003</v>
      </c>
      <c r="P23" s="43">
        <v>35.07</v>
      </c>
      <c r="Q23" s="43">
        <v>34.991675999999998</v>
      </c>
      <c r="R23" s="43">
        <v>34.921059</v>
      </c>
      <c r="S23" s="43">
        <v>34.851433</v>
      </c>
      <c r="T23" s="43">
        <v>34.798896999999997</v>
      </c>
      <c r="U23" s="43">
        <v>34.737651999999997</v>
      </c>
      <c r="V23" s="43">
        <v>34.680019000000001</v>
      </c>
      <c r="W23" s="43">
        <v>34.629646000000001</v>
      </c>
      <c r="X23" s="43">
        <v>34.570549</v>
      </c>
      <c r="Y23" s="43">
        <v>34.517761</v>
      </c>
      <c r="Z23" s="43">
        <v>34.471755999999999</v>
      </c>
      <c r="AA23" s="43">
        <v>34.419403000000003</v>
      </c>
      <c r="AB23" s="43">
        <v>34.369155999999997</v>
      </c>
      <c r="AC23" s="43">
        <v>34.329891000000003</v>
      </c>
      <c r="AD23" s="43">
        <v>34.277576000000003</v>
      </c>
      <c r="AE23" s="43">
        <v>34.236896999999999</v>
      </c>
      <c r="AF23" s="43">
        <v>34.199477999999999</v>
      </c>
      <c r="AG23" s="43">
        <v>34.154891999999997</v>
      </c>
      <c r="AH23" s="43">
        <v>34.113700999999999</v>
      </c>
      <c r="AI23" s="35">
        <v>5.6369999999999996E-3</v>
      </c>
      <c r="AJ23" s="36"/>
      <c r="AK23" s="37"/>
    </row>
    <row r="24" spans="1:37" ht="15" customHeight="1" x14ac:dyDescent="0.35">
      <c r="A24" s="29" t="s">
        <v>626</v>
      </c>
      <c r="B24" s="33" t="s">
        <v>548</v>
      </c>
      <c r="C24" s="43">
        <v>38.373775000000002</v>
      </c>
      <c r="D24" s="43">
        <v>39.099411000000003</v>
      </c>
      <c r="E24" s="43">
        <v>40.278140999999998</v>
      </c>
      <c r="F24" s="43">
        <v>41.970013000000002</v>
      </c>
      <c r="G24" s="43">
        <v>43.718414000000003</v>
      </c>
      <c r="H24" s="43">
        <v>45.116993000000001</v>
      </c>
      <c r="I24" s="43">
        <v>47.066189000000001</v>
      </c>
      <c r="J24" s="43">
        <v>47.079369</v>
      </c>
      <c r="K24" s="43">
        <v>47.026398</v>
      </c>
      <c r="L24" s="43">
        <v>46.976481999999997</v>
      </c>
      <c r="M24" s="43">
        <v>46.986114999999998</v>
      </c>
      <c r="N24" s="43">
        <v>47.015759000000003</v>
      </c>
      <c r="O24" s="43">
        <v>47.010513000000003</v>
      </c>
      <c r="P24" s="43">
        <v>46.957512000000001</v>
      </c>
      <c r="Q24" s="43">
        <v>46.919510000000002</v>
      </c>
      <c r="R24" s="43">
        <v>46.842548000000001</v>
      </c>
      <c r="S24" s="43">
        <v>46.759655000000002</v>
      </c>
      <c r="T24" s="43">
        <v>46.662590000000002</v>
      </c>
      <c r="U24" s="43">
        <v>46.564041000000003</v>
      </c>
      <c r="V24" s="43">
        <v>46.489178000000003</v>
      </c>
      <c r="W24" s="43">
        <v>46.412247000000001</v>
      </c>
      <c r="X24" s="43">
        <v>46.332653000000001</v>
      </c>
      <c r="Y24" s="43">
        <v>46.262264000000002</v>
      </c>
      <c r="Z24" s="43">
        <v>46.200405000000003</v>
      </c>
      <c r="AA24" s="43">
        <v>46.135154999999997</v>
      </c>
      <c r="AB24" s="43">
        <v>46.071331000000001</v>
      </c>
      <c r="AC24" s="43">
        <v>46.015652000000003</v>
      </c>
      <c r="AD24" s="43">
        <v>45.950867000000002</v>
      </c>
      <c r="AE24" s="43">
        <v>45.868972999999997</v>
      </c>
      <c r="AF24" s="43">
        <v>45.762301999999998</v>
      </c>
      <c r="AG24" s="43">
        <v>45.655521</v>
      </c>
      <c r="AH24" s="43">
        <v>45.548492000000003</v>
      </c>
      <c r="AI24" s="35">
        <v>5.5440000000000003E-3</v>
      </c>
      <c r="AJ24" s="36"/>
      <c r="AK24" s="37"/>
    </row>
    <row r="25" spans="1:37" ht="15" customHeight="1" x14ac:dyDescent="0.35">
      <c r="A25" s="29" t="s">
        <v>627</v>
      </c>
      <c r="B25" s="33" t="s">
        <v>549</v>
      </c>
      <c r="C25" s="43">
        <v>33.025688000000002</v>
      </c>
      <c r="D25" s="43">
        <v>34.269775000000003</v>
      </c>
      <c r="E25" s="43">
        <v>35.856068</v>
      </c>
      <c r="F25" s="43">
        <v>37.336852999999998</v>
      </c>
      <c r="G25" s="43">
        <v>39.006737000000001</v>
      </c>
      <c r="H25" s="43">
        <v>40.680484999999997</v>
      </c>
      <c r="I25" s="43">
        <v>41.715465999999999</v>
      </c>
      <c r="J25" s="43">
        <v>41.705680999999998</v>
      </c>
      <c r="K25" s="43">
        <v>41.717936999999999</v>
      </c>
      <c r="L25" s="43">
        <v>41.794865000000001</v>
      </c>
      <c r="M25" s="43">
        <v>41.871082000000001</v>
      </c>
      <c r="N25" s="43">
        <v>41.961998000000001</v>
      </c>
      <c r="O25" s="43">
        <v>42.000416000000001</v>
      </c>
      <c r="P25" s="43">
        <v>42.018462999999997</v>
      </c>
      <c r="Q25" s="43">
        <v>41.998584999999999</v>
      </c>
      <c r="R25" s="43">
        <v>41.964306000000001</v>
      </c>
      <c r="S25" s="43">
        <v>41.923724999999997</v>
      </c>
      <c r="T25" s="43">
        <v>41.867911999999997</v>
      </c>
      <c r="U25" s="43">
        <v>41.813389000000001</v>
      </c>
      <c r="V25" s="43">
        <v>41.768669000000003</v>
      </c>
      <c r="W25" s="43">
        <v>41.741698999999997</v>
      </c>
      <c r="X25" s="43">
        <v>41.708205999999997</v>
      </c>
      <c r="Y25" s="43">
        <v>41.678879000000002</v>
      </c>
      <c r="Z25" s="43">
        <v>41.655150999999996</v>
      </c>
      <c r="AA25" s="43">
        <v>41.625667999999997</v>
      </c>
      <c r="AB25" s="43">
        <v>41.597481000000002</v>
      </c>
      <c r="AC25" s="43">
        <v>41.599086999999997</v>
      </c>
      <c r="AD25" s="43">
        <v>41.577587000000001</v>
      </c>
      <c r="AE25" s="43">
        <v>41.561092000000002</v>
      </c>
      <c r="AF25" s="43">
        <v>41.561726</v>
      </c>
      <c r="AG25" s="43">
        <v>41.541691</v>
      </c>
      <c r="AH25" s="43">
        <v>41.530532999999998</v>
      </c>
      <c r="AI25" s="35">
        <v>7.4190000000000002E-3</v>
      </c>
      <c r="AJ25" s="36"/>
      <c r="AK25" s="37"/>
    </row>
    <row r="26" spans="1:37" ht="15" customHeight="1" x14ac:dyDescent="0.35">
      <c r="A26" s="29" t="s">
        <v>527</v>
      </c>
      <c r="B26" s="33" t="s">
        <v>526</v>
      </c>
      <c r="C26" s="43">
        <v>40.032085000000002</v>
      </c>
      <c r="D26" s="43">
        <v>40.7547</v>
      </c>
      <c r="E26" s="43">
        <v>42.079085999999997</v>
      </c>
      <c r="F26" s="43">
        <v>43.836596999999998</v>
      </c>
      <c r="G26" s="43">
        <v>45.535183000000004</v>
      </c>
      <c r="H26" s="43">
        <v>46.758572000000001</v>
      </c>
      <c r="I26" s="43">
        <v>49.064857000000003</v>
      </c>
      <c r="J26" s="43">
        <v>49.090339999999998</v>
      </c>
      <c r="K26" s="43">
        <v>49.014290000000003</v>
      </c>
      <c r="L26" s="43">
        <v>48.944580000000002</v>
      </c>
      <c r="M26" s="43">
        <v>48.890636000000001</v>
      </c>
      <c r="N26" s="43">
        <v>48.861099000000003</v>
      </c>
      <c r="O26" s="43">
        <v>48.853340000000003</v>
      </c>
      <c r="P26" s="43">
        <v>48.782364000000001</v>
      </c>
      <c r="Q26" s="43">
        <v>48.713622999999998</v>
      </c>
      <c r="R26" s="43">
        <v>48.633853999999999</v>
      </c>
      <c r="S26" s="43">
        <v>48.547863</v>
      </c>
      <c r="T26" s="43">
        <v>48.450329000000004</v>
      </c>
      <c r="U26" s="43">
        <v>48.348391999999997</v>
      </c>
      <c r="V26" s="43">
        <v>48.244785</v>
      </c>
      <c r="W26" s="43">
        <v>48.148499000000001</v>
      </c>
      <c r="X26" s="43">
        <v>48.057353999999997</v>
      </c>
      <c r="Y26" s="43">
        <v>47.965443</v>
      </c>
      <c r="Z26" s="43">
        <v>47.876517999999997</v>
      </c>
      <c r="AA26" s="43">
        <v>47.795498000000002</v>
      </c>
      <c r="AB26" s="43">
        <v>47.709907999999999</v>
      </c>
      <c r="AC26" s="43">
        <v>47.625275000000002</v>
      </c>
      <c r="AD26" s="43">
        <v>47.544215999999999</v>
      </c>
      <c r="AE26" s="43">
        <v>47.446750999999999</v>
      </c>
      <c r="AF26" s="43">
        <v>47.353855000000003</v>
      </c>
      <c r="AG26" s="43">
        <v>47.257689999999997</v>
      </c>
      <c r="AH26" s="43">
        <v>47.160473000000003</v>
      </c>
      <c r="AI26" s="35">
        <v>5.3E-3</v>
      </c>
      <c r="AJ26" s="36"/>
      <c r="AK26" s="37"/>
    </row>
    <row r="27" spans="1:37" ht="15" customHeight="1" x14ac:dyDescent="0.35">
      <c r="A27" s="29" t="s">
        <v>525</v>
      </c>
      <c r="B27" s="33" t="s">
        <v>524</v>
      </c>
      <c r="C27" s="43">
        <v>32.690792000000002</v>
      </c>
      <c r="D27" s="43">
        <v>33.280887999999997</v>
      </c>
      <c r="E27" s="43">
        <v>34.362403999999998</v>
      </c>
      <c r="F27" s="43">
        <v>35.797611000000003</v>
      </c>
      <c r="G27" s="43">
        <v>37.184699999999999</v>
      </c>
      <c r="H27" s="43">
        <v>38.183739000000003</v>
      </c>
      <c r="I27" s="43">
        <v>40.067084999999999</v>
      </c>
      <c r="J27" s="43">
        <v>40.087893999999999</v>
      </c>
      <c r="K27" s="43">
        <v>40.025790999999998</v>
      </c>
      <c r="L27" s="43">
        <v>39.968864000000004</v>
      </c>
      <c r="M27" s="43">
        <v>39.924816</v>
      </c>
      <c r="N27" s="43">
        <v>39.900696000000003</v>
      </c>
      <c r="O27" s="43">
        <v>39.894359999999999</v>
      </c>
      <c r="P27" s="43">
        <v>39.836399</v>
      </c>
      <c r="Q27" s="43">
        <v>39.780262</v>
      </c>
      <c r="R27" s="43">
        <v>39.715122000000001</v>
      </c>
      <c r="S27" s="43">
        <v>39.644900999999997</v>
      </c>
      <c r="T27" s="43">
        <v>39.565254000000003</v>
      </c>
      <c r="U27" s="43">
        <v>39.482010000000002</v>
      </c>
      <c r="V27" s="43">
        <v>39.397404000000002</v>
      </c>
      <c r="W27" s="43">
        <v>39.318775000000002</v>
      </c>
      <c r="X27" s="43">
        <v>39.244343000000001</v>
      </c>
      <c r="Y27" s="43">
        <v>39.169288999999999</v>
      </c>
      <c r="Z27" s="43">
        <v>39.096671999999998</v>
      </c>
      <c r="AA27" s="43">
        <v>39.03051</v>
      </c>
      <c r="AB27" s="43">
        <v>38.960613000000002</v>
      </c>
      <c r="AC27" s="43">
        <v>38.891502000000003</v>
      </c>
      <c r="AD27" s="43">
        <v>38.825310000000002</v>
      </c>
      <c r="AE27" s="43">
        <v>38.745716000000002</v>
      </c>
      <c r="AF27" s="43">
        <v>38.669857</v>
      </c>
      <c r="AG27" s="43">
        <v>38.591327999999997</v>
      </c>
      <c r="AH27" s="43">
        <v>38.511935999999999</v>
      </c>
      <c r="AI27" s="35">
        <v>5.3E-3</v>
      </c>
      <c r="AJ27" s="36"/>
      <c r="AK27" s="37"/>
    </row>
    <row r="28" spans="1:37" ht="15" customHeight="1" x14ac:dyDescent="0.35">
      <c r="A28" s="19"/>
    </row>
    <row r="29" spans="1:37" ht="15" customHeight="1" x14ac:dyDescent="0.35">
      <c r="A29" s="25"/>
      <c r="B29" s="32" t="s">
        <v>523</v>
      </c>
      <c r="C29" s="25"/>
      <c r="D29" s="25"/>
      <c r="E29" s="25"/>
      <c r="F29" s="25"/>
      <c r="G29" s="25"/>
      <c r="H29" s="25"/>
      <c r="I29" s="25"/>
      <c r="J29" s="25"/>
      <c r="K29" s="25"/>
      <c r="L29" s="25"/>
      <c r="M29" s="25"/>
      <c r="N29" s="25"/>
      <c r="O29" s="25"/>
      <c r="P29" s="25"/>
      <c r="Q29" s="25"/>
      <c r="R29" s="25"/>
      <c r="S29" s="25"/>
      <c r="T29" s="25"/>
      <c r="U29" s="25"/>
      <c r="V29" s="25"/>
      <c r="W29" s="25"/>
      <c r="X29" s="25"/>
      <c r="Y29" s="25"/>
      <c r="Z29" s="25"/>
      <c r="AA29" s="25"/>
      <c r="AB29" s="25"/>
      <c r="AC29" s="25"/>
      <c r="AD29" s="25"/>
      <c r="AE29" s="25"/>
      <c r="AF29" s="25"/>
      <c r="AG29" s="25"/>
      <c r="AH29" s="25"/>
      <c r="AI29" s="25"/>
    </row>
    <row r="30" spans="1:37" ht="15" customHeight="1" x14ac:dyDescent="0.35">
      <c r="A30" s="29" t="s">
        <v>522</v>
      </c>
      <c r="B30" s="33" t="s">
        <v>491</v>
      </c>
      <c r="C30" s="43">
        <v>28.898015999999998</v>
      </c>
      <c r="D30" s="43">
        <v>30.083445000000001</v>
      </c>
      <c r="E30" s="43">
        <v>31.211254</v>
      </c>
      <c r="F30" s="43">
        <v>33.532485999999999</v>
      </c>
      <c r="G30" s="43">
        <v>34.952140999999997</v>
      </c>
      <c r="H30" s="43">
        <v>37.162497999999999</v>
      </c>
      <c r="I30" s="43">
        <v>39.233775999999999</v>
      </c>
      <c r="J30" s="43">
        <v>39.232261999999999</v>
      </c>
      <c r="K30" s="43">
        <v>39.244553000000003</v>
      </c>
      <c r="L30" s="43">
        <v>39.282017000000003</v>
      </c>
      <c r="M30" s="43">
        <v>39.340862000000001</v>
      </c>
      <c r="N30" s="43">
        <v>39.411563999999998</v>
      </c>
      <c r="O30" s="43">
        <v>39.450054000000002</v>
      </c>
      <c r="P30" s="43">
        <v>39.495162999999998</v>
      </c>
      <c r="Q30" s="43">
        <v>39.549900000000001</v>
      </c>
      <c r="R30" s="43">
        <v>39.586570999999999</v>
      </c>
      <c r="S30" s="43">
        <v>39.586010000000002</v>
      </c>
      <c r="T30" s="43">
        <v>39.518452000000003</v>
      </c>
      <c r="U30" s="43">
        <v>39.469971000000001</v>
      </c>
      <c r="V30" s="43">
        <v>39.428618999999998</v>
      </c>
      <c r="W30" s="43">
        <v>39.392257999999998</v>
      </c>
      <c r="X30" s="43">
        <v>39.349522</v>
      </c>
      <c r="Y30" s="43">
        <v>39.311337000000002</v>
      </c>
      <c r="Z30" s="43">
        <v>39.276791000000003</v>
      </c>
      <c r="AA30" s="43">
        <v>39.236561000000002</v>
      </c>
      <c r="AB30" s="43">
        <v>39.197029000000001</v>
      </c>
      <c r="AC30" s="43">
        <v>39.159519000000003</v>
      </c>
      <c r="AD30" s="43">
        <v>39.114643000000001</v>
      </c>
      <c r="AE30" s="43">
        <v>39.079360999999999</v>
      </c>
      <c r="AF30" s="43">
        <v>39.041119000000002</v>
      </c>
      <c r="AG30" s="43">
        <v>39.001601999999998</v>
      </c>
      <c r="AH30" s="43">
        <v>38.961468000000004</v>
      </c>
      <c r="AI30" s="35">
        <v>9.6849999999999992E-3</v>
      </c>
      <c r="AJ30" s="36"/>
      <c r="AK30" s="37"/>
    </row>
    <row r="31" spans="1:37" ht="15" customHeight="1" x14ac:dyDescent="0.35">
      <c r="A31" s="29" t="s">
        <v>521</v>
      </c>
      <c r="B31" s="33" t="s">
        <v>489</v>
      </c>
      <c r="C31" s="43">
        <v>26.799551000000001</v>
      </c>
      <c r="D31" s="43">
        <v>27.466609999999999</v>
      </c>
      <c r="E31" s="43">
        <v>28.099136000000001</v>
      </c>
      <c r="F31" s="43">
        <v>29.006043999999999</v>
      </c>
      <c r="G31" s="43">
        <v>29.808344000000002</v>
      </c>
      <c r="H31" s="43">
        <v>31.339894999999999</v>
      </c>
      <c r="I31" s="43">
        <v>32.575038999999997</v>
      </c>
      <c r="J31" s="43">
        <v>32.559928999999997</v>
      </c>
      <c r="K31" s="43">
        <v>32.580337999999998</v>
      </c>
      <c r="L31" s="43">
        <v>32.609054999999998</v>
      </c>
      <c r="M31" s="43">
        <v>32.641185999999998</v>
      </c>
      <c r="N31" s="43">
        <v>32.684010000000001</v>
      </c>
      <c r="O31" s="43">
        <v>32.714061999999998</v>
      </c>
      <c r="P31" s="43">
        <v>32.743744</v>
      </c>
      <c r="Q31" s="43">
        <v>32.765259</v>
      </c>
      <c r="R31" s="43">
        <v>32.762881999999998</v>
      </c>
      <c r="S31" s="43">
        <v>32.735947000000003</v>
      </c>
      <c r="T31" s="43">
        <v>32.689503000000002</v>
      </c>
      <c r="U31" s="43">
        <v>32.643684</v>
      </c>
      <c r="V31" s="43">
        <v>32.604950000000002</v>
      </c>
      <c r="W31" s="43">
        <v>32.569659999999999</v>
      </c>
      <c r="X31" s="43">
        <v>32.529324000000003</v>
      </c>
      <c r="Y31" s="43">
        <v>32.493504000000001</v>
      </c>
      <c r="Z31" s="43">
        <v>32.462829999999997</v>
      </c>
      <c r="AA31" s="43">
        <v>32.427303000000002</v>
      </c>
      <c r="AB31" s="43">
        <v>32.392414000000002</v>
      </c>
      <c r="AC31" s="43">
        <v>32.361190999999998</v>
      </c>
      <c r="AD31" s="43">
        <v>32.322277</v>
      </c>
      <c r="AE31" s="43">
        <v>32.291682999999999</v>
      </c>
      <c r="AF31" s="43">
        <v>32.259186</v>
      </c>
      <c r="AG31" s="43">
        <v>32.224876000000002</v>
      </c>
      <c r="AH31" s="43">
        <v>32.190337999999997</v>
      </c>
      <c r="AI31" s="35">
        <v>5.9300000000000004E-3</v>
      </c>
      <c r="AJ31" s="36"/>
      <c r="AK31" s="37"/>
    </row>
    <row r="32" spans="1:37" ht="15" customHeight="1" x14ac:dyDescent="0.35">
      <c r="A32" s="29" t="s">
        <v>520</v>
      </c>
      <c r="B32" s="33" t="s">
        <v>487</v>
      </c>
      <c r="C32" s="43">
        <v>30.626825</v>
      </c>
      <c r="D32" s="43">
        <v>31.372413999999999</v>
      </c>
      <c r="E32" s="43">
        <v>32.227393999999997</v>
      </c>
      <c r="F32" s="43">
        <v>33.561763999999997</v>
      </c>
      <c r="G32" s="43">
        <v>34.613250999999998</v>
      </c>
      <c r="H32" s="43">
        <v>36.436424000000002</v>
      </c>
      <c r="I32" s="43">
        <v>37.244346999999998</v>
      </c>
      <c r="J32" s="43">
        <v>37.255679999999998</v>
      </c>
      <c r="K32" s="43">
        <v>37.269871000000002</v>
      </c>
      <c r="L32" s="43">
        <v>37.293056</v>
      </c>
      <c r="M32" s="43">
        <v>37.330894000000001</v>
      </c>
      <c r="N32" s="43">
        <v>37.373863</v>
      </c>
      <c r="O32" s="43">
        <v>37.393635000000003</v>
      </c>
      <c r="P32" s="43">
        <v>37.419445000000003</v>
      </c>
      <c r="Q32" s="43">
        <v>37.431910999999999</v>
      </c>
      <c r="R32" s="43">
        <v>37.421680000000002</v>
      </c>
      <c r="S32" s="43">
        <v>37.426723000000003</v>
      </c>
      <c r="T32" s="43">
        <v>37.435211000000002</v>
      </c>
      <c r="U32" s="43">
        <v>37.432212999999997</v>
      </c>
      <c r="V32" s="43">
        <v>37.424048999999997</v>
      </c>
      <c r="W32" s="43">
        <v>37.410026999999999</v>
      </c>
      <c r="X32" s="43">
        <v>37.394787000000001</v>
      </c>
      <c r="Y32" s="43">
        <v>37.38203</v>
      </c>
      <c r="Z32" s="43">
        <v>37.371273000000002</v>
      </c>
      <c r="AA32" s="43">
        <v>37.358879000000002</v>
      </c>
      <c r="AB32" s="43">
        <v>37.346885999999998</v>
      </c>
      <c r="AC32" s="43">
        <v>37.336857000000002</v>
      </c>
      <c r="AD32" s="43">
        <v>37.323456</v>
      </c>
      <c r="AE32" s="43">
        <v>37.313042000000003</v>
      </c>
      <c r="AF32" s="43">
        <v>37.302714999999999</v>
      </c>
      <c r="AG32" s="43">
        <v>37.291865999999999</v>
      </c>
      <c r="AH32" s="43">
        <v>37.282412999999998</v>
      </c>
      <c r="AI32" s="35">
        <v>6.3639999999999999E-3</v>
      </c>
      <c r="AJ32" s="36"/>
      <c r="AK32" s="37"/>
    </row>
    <row r="33" spans="1:37" ht="15" customHeight="1" x14ac:dyDescent="0.35">
      <c r="A33" s="29" t="s">
        <v>519</v>
      </c>
      <c r="B33" s="33" t="s">
        <v>485</v>
      </c>
      <c r="C33" s="43">
        <v>27.806598999999999</v>
      </c>
      <c r="D33" s="43">
        <v>29.022406</v>
      </c>
      <c r="E33" s="43">
        <v>30.65119</v>
      </c>
      <c r="F33" s="43">
        <v>33.056426999999999</v>
      </c>
      <c r="G33" s="43">
        <v>35.480305000000001</v>
      </c>
      <c r="H33" s="43">
        <v>37.966723999999999</v>
      </c>
      <c r="I33" s="43">
        <v>39.056716999999999</v>
      </c>
      <c r="J33" s="43">
        <v>39.052852999999999</v>
      </c>
      <c r="K33" s="43">
        <v>39.058276999999997</v>
      </c>
      <c r="L33" s="43">
        <v>39.062942999999997</v>
      </c>
      <c r="M33" s="43">
        <v>39.108260999999999</v>
      </c>
      <c r="N33" s="43">
        <v>39.171348999999999</v>
      </c>
      <c r="O33" s="43">
        <v>39.224373</v>
      </c>
      <c r="P33" s="43">
        <v>39.286797</v>
      </c>
      <c r="Q33" s="43">
        <v>39.331322</v>
      </c>
      <c r="R33" s="43">
        <v>39.299149</v>
      </c>
      <c r="S33" s="43">
        <v>39.254593</v>
      </c>
      <c r="T33" s="43">
        <v>39.213965999999999</v>
      </c>
      <c r="U33" s="43">
        <v>39.174613999999998</v>
      </c>
      <c r="V33" s="43">
        <v>39.144736999999999</v>
      </c>
      <c r="W33" s="43">
        <v>39.113258000000002</v>
      </c>
      <c r="X33" s="43">
        <v>39.080368</v>
      </c>
      <c r="Y33" s="43">
        <v>39.051746000000001</v>
      </c>
      <c r="Z33" s="43">
        <v>39.025920999999997</v>
      </c>
      <c r="AA33" s="43">
        <v>38.997044000000002</v>
      </c>
      <c r="AB33" s="43">
        <v>38.968105000000001</v>
      </c>
      <c r="AC33" s="43">
        <v>38.937762999999997</v>
      </c>
      <c r="AD33" s="43">
        <v>38.904662999999999</v>
      </c>
      <c r="AE33" s="43">
        <v>38.878444999999999</v>
      </c>
      <c r="AF33" s="43">
        <v>38.847926999999999</v>
      </c>
      <c r="AG33" s="43">
        <v>38.817993000000001</v>
      </c>
      <c r="AH33" s="43">
        <v>38.786437999999997</v>
      </c>
      <c r="AI33" s="35">
        <v>1.0793000000000001E-2</v>
      </c>
      <c r="AJ33" s="36"/>
      <c r="AK33" s="37"/>
    </row>
    <row r="34" spans="1:37" ht="15" customHeight="1" x14ac:dyDescent="0.35">
      <c r="A34" s="29" t="s">
        <v>518</v>
      </c>
      <c r="B34" s="33" t="s">
        <v>483</v>
      </c>
      <c r="C34" s="43">
        <v>26.562259999999998</v>
      </c>
      <c r="D34" s="43">
        <v>27.920131999999999</v>
      </c>
      <c r="E34" s="43">
        <v>29.615781999999999</v>
      </c>
      <c r="F34" s="43">
        <v>32.268523999999999</v>
      </c>
      <c r="G34" s="43">
        <v>34.721587999999997</v>
      </c>
      <c r="H34" s="43">
        <v>37.454407000000003</v>
      </c>
      <c r="I34" s="43">
        <v>38.634917999999999</v>
      </c>
      <c r="J34" s="43">
        <v>38.629821999999997</v>
      </c>
      <c r="K34" s="43">
        <v>38.657744999999998</v>
      </c>
      <c r="L34" s="43">
        <v>38.686019999999999</v>
      </c>
      <c r="M34" s="43">
        <v>38.724784999999997</v>
      </c>
      <c r="N34" s="43">
        <v>38.751465000000003</v>
      </c>
      <c r="O34" s="43">
        <v>38.752819000000002</v>
      </c>
      <c r="P34" s="43">
        <v>38.760727000000003</v>
      </c>
      <c r="Q34" s="43">
        <v>38.763496000000004</v>
      </c>
      <c r="R34" s="43">
        <v>38.732211999999997</v>
      </c>
      <c r="S34" s="43">
        <v>38.685326000000003</v>
      </c>
      <c r="T34" s="43">
        <v>38.641235000000002</v>
      </c>
      <c r="U34" s="43">
        <v>38.598736000000002</v>
      </c>
      <c r="V34" s="43">
        <v>38.565716000000002</v>
      </c>
      <c r="W34" s="43">
        <v>38.532265000000002</v>
      </c>
      <c r="X34" s="43">
        <v>38.496082000000001</v>
      </c>
      <c r="Y34" s="43">
        <v>38.464218000000002</v>
      </c>
      <c r="Z34" s="43">
        <v>38.435904999999998</v>
      </c>
      <c r="AA34" s="43">
        <v>38.403861999999997</v>
      </c>
      <c r="AB34" s="43">
        <v>38.371986</v>
      </c>
      <c r="AC34" s="43">
        <v>38.340012000000002</v>
      </c>
      <c r="AD34" s="43">
        <v>38.303508999999998</v>
      </c>
      <c r="AE34" s="43">
        <v>38.274639000000001</v>
      </c>
      <c r="AF34" s="43">
        <v>38.242114999999998</v>
      </c>
      <c r="AG34" s="43">
        <v>38.209403999999999</v>
      </c>
      <c r="AH34" s="43">
        <v>38.175510000000003</v>
      </c>
      <c r="AI34" s="35">
        <v>1.1769E-2</v>
      </c>
      <c r="AJ34" s="36"/>
      <c r="AK34" s="37"/>
    </row>
    <row r="35" spans="1:37" ht="15" customHeight="1" x14ac:dyDescent="0.35">
      <c r="A35" s="29" t="s">
        <v>517</v>
      </c>
      <c r="B35" s="33" t="s">
        <v>481</v>
      </c>
      <c r="C35" s="43">
        <v>25.189889999999998</v>
      </c>
      <c r="D35" s="43">
        <v>25.737206</v>
      </c>
      <c r="E35" s="43">
        <v>26.314952999999999</v>
      </c>
      <c r="F35" s="43">
        <v>27.309975000000001</v>
      </c>
      <c r="G35" s="43">
        <v>28.108830999999999</v>
      </c>
      <c r="H35" s="43">
        <v>29.892150999999998</v>
      </c>
      <c r="I35" s="43">
        <v>31.35277</v>
      </c>
      <c r="J35" s="43">
        <v>31.352561999999999</v>
      </c>
      <c r="K35" s="43">
        <v>31.385131999999999</v>
      </c>
      <c r="L35" s="43">
        <v>31.427482999999999</v>
      </c>
      <c r="M35" s="43">
        <v>31.452529999999999</v>
      </c>
      <c r="N35" s="43">
        <v>31.482762999999998</v>
      </c>
      <c r="O35" s="43">
        <v>31.502697000000001</v>
      </c>
      <c r="P35" s="43">
        <v>31.534904000000001</v>
      </c>
      <c r="Q35" s="43">
        <v>31.529205000000001</v>
      </c>
      <c r="R35" s="43">
        <v>31.520600999999999</v>
      </c>
      <c r="S35" s="43">
        <v>31.487176999999999</v>
      </c>
      <c r="T35" s="43">
        <v>31.453296999999999</v>
      </c>
      <c r="U35" s="43">
        <v>31.418379000000002</v>
      </c>
      <c r="V35" s="43">
        <v>31.388659000000001</v>
      </c>
      <c r="W35" s="43">
        <v>31.361128000000001</v>
      </c>
      <c r="X35" s="43">
        <v>31.329232999999999</v>
      </c>
      <c r="Y35" s="43">
        <v>31.300331</v>
      </c>
      <c r="Z35" s="43">
        <v>31.275656000000001</v>
      </c>
      <c r="AA35" s="43">
        <v>31.246670000000002</v>
      </c>
      <c r="AB35" s="43">
        <v>31.217649000000002</v>
      </c>
      <c r="AC35" s="43">
        <v>31.19088</v>
      </c>
      <c r="AD35" s="43">
        <v>31.157416999999999</v>
      </c>
      <c r="AE35" s="43">
        <v>31.130801999999999</v>
      </c>
      <c r="AF35" s="43">
        <v>31.102229999999999</v>
      </c>
      <c r="AG35" s="43">
        <v>31.071878000000002</v>
      </c>
      <c r="AH35" s="43">
        <v>31.041132000000001</v>
      </c>
      <c r="AI35" s="35">
        <v>6.7600000000000004E-3</v>
      </c>
      <c r="AJ35" s="36"/>
      <c r="AK35" s="37"/>
    </row>
    <row r="36" spans="1:37" ht="15" customHeight="1" x14ac:dyDescent="0.35">
      <c r="A36" s="29" t="s">
        <v>628</v>
      </c>
      <c r="B36" s="33" t="s">
        <v>548</v>
      </c>
      <c r="C36" s="43">
        <v>35.140846000000003</v>
      </c>
      <c r="D36" s="43">
        <v>36.076416000000002</v>
      </c>
      <c r="E36" s="43">
        <v>37.128940999999998</v>
      </c>
      <c r="F36" s="43">
        <v>39.114803000000002</v>
      </c>
      <c r="G36" s="43">
        <v>40.339686999999998</v>
      </c>
      <c r="H36" s="43">
        <v>42.205635000000001</v>
      </c>
      <c r="I36" s="43">
        <v>44.738636</v>
      </c>
      <c r="J36" s="43">
        <v>44.696292999999997</v>
      </c>
      <c r="K36" s="43">
        <v>44.659106999999999</v>
      </c>
      <c r="L36" s="43">
        <v>44.613551999999999</v>
      </c>
      <c r="M36" s="43">
        <v>44.573017</v>
      </c>
      <c r="N36" s="43">
        <v>44.541736999999998</v>
      </c>
      <c r="O36" s="43">
        <v>44.491759999999999</v>
      </c>
      <c r="P36" s="43">
        <v>44.441184999999997</v>
      </c>
      <c r="Q36" s="43">
        <v>44.402016000000003</v>
      </c>
      <c r="R36" s="43">
        <v>44.356026</v>
      </c>
      <c r="S36" s="43">
        <v>44.304744999999997</v>
      </c>
      <c r="T36" s="43">
        <v>44.254874999999998</v>
      </c>
      <c r="U36" s="43">
        <v>44.182147999999998</v>
      </c>
      <c r="V36" s="43">
        <v>44.121367999999997</v>
      </c>
      <c r="W36" s="43">
        <v>44.060673000000001</v>
      </c>
      <c r="X36" s="43">
        <v>43.98959</v>
      </c>
      <c r="Y36" s="43">
        <v>43.924754999999998</v>
      </c>
      <c r="Z36" s="43">
        <v>43.863543999999997</v>
      </c>
      <c r="AA36" s="43">
        <v>43.793044999999999</v>
      </c>
      <c r="AB36" s="43">
        <v>43.723869000000001</v>
      </c>
      <c r="AC36" s="43">
        <v>43.659672</v>
      </c>
      <c r="AD36" s="43">
        <v>43.587059000000004</v>
      </c>
      <c r="AE36" s="43">
        <v>43.530472000000003</v>
      </c>
      <c r="AF36" s="43">
        <v>43.461585999999997</v>
      </c>
      <c r="AG36" s="43">
        <v>43.385886999999997</v>
      </c>
      <c r="AH36" s="43">
        <v>43.309868000000002</v>
      </c>
      <c r="AI36" s="35">
        <v>6.7650000000000002E-3</v>
      </c>
      <c r="AJ36" s="36"/>
      <c r="AK36" s="37"/>
    </row>
    <row r="37" spans="1:37" ht="15" customHeight="1" x14ac:dyDescent="0.35">
      <c r="A37" s="29" t="s">
        <v>629</v>
      </c>
      <c r="B37" s="33" t="s">
        <v>549</v>
      </c>
      <c r="C37" s="43">
        <v>30.155649</v>
      </c>
      <c r="D37" s="43">
        <v>31.29355</v>
      </c>
      <c r="E37" s="43">
        <v>33.098956999999999</v>
      </c>
      <c r="F37" s="43">
        <v>34.850056000000002</v>
      </c>
      <c r="G37" s="43">
        <v>36.166561000000002</v>
      </c>
      <c r="H37" s="43">
        <v>37.589087999999997</v>
      </c>
      <c r="I37" s="43">
        <v>38.980145</v>
      </c>
      <c r="J37" s="43">
        <v>39.445003999999997</v>
      </c>
      <c r="K37" s="43">
        <v>39.424819999999997</v>
      </c>
      <c r="L37" s="43">
        <v>39.389515000000003</v>
      </c>
      <c r="M37" s="43">
        <v>39.364815</v>
      </c>
      <c r="N37" s="43">
        <v>39.366978000000003</v>
      </c>
      <c r="O37" s="43">
        <v>39.364040000000003</v>
      </c>
      <c r="P37" s="43">
        <v>39.359127000000001</v>
      </c>
      <c r="Q37" s="43">
        <v>39.339458</v>
      </c>
      <c r="R37" s="43">
        <v>39.310574000000003</v>
      </c>
      <c r="S37" s="43">
        <v>39.278858</v>
      </c>
      <c r="T37" s="43">
        <v>39.228957999999999</v>
      </c>
      <c r="U37" s="43">
        <v>39.176582000000003</v>
      </c>
      <c r="V37" s="43">
        <v>39.131683000000002</v>
      </c>
      <c r="W37" s="43">
        <v>39.090012000000002</v>
      </c>
      <c r="X37" s="43">
        <v>39.039085</v>
      </c>
      <c r="Y37" s="43">
        <v>38.991813999999998</v>
      </c>
      <c r="Z37" s="43">
        <v>38.950451000000001</v>
      </c>
      <c r="AA37" s="43">
        <v>38.902706000000002</v>
      </c>
      <c r="AB37" s="43">
        <v>38.855068000000003</v>
      </c>
      <c r="AC37" s="43">
        <v>38.810200000000002</v>
      </c>
      <c r="AD37" s="43">
        <v>38.757159999999999</v>
      </c>
      <c r="AE37" s="43">
        <v>38.715763000000003</v>
      </c>
      <c r="AF37" s="43">
        <v>38.670357000000003</v>
      </c>
      <c r="AG37" s="43">
        <v>38.624222000000003</v>
      </c>
      <c r="AH37" s="43">
        <v>38.577435000000001</v>
      </c>
      <c r="AI37" s="35">
        <v>7.9769999999999997E-3</v>
      </c>
      <c r="AJ37" s="36"/>
      <c r="AK37" s="37"/>
    </row>
    <row r="38" spans="1:37" ht="15" customHeight="1" x14ac:dyDescent="0.35">
      <c r="A38" s="29" t="s">
        <v>516</v>
      </c>
      <c r="B38" s="33" t="s">
        <v>515</v>
      </c>
      <c r="C38" s="43">
        <v>29.903424999999999</v>
      </c>
      <c r="D38" s="43">
        <v>30.845013000000002</v>
      </c>
      <c r="E38" s="43">
        <v>32.078156</v>
      </c>
      <c r="F38" s="43">
        <v>33.657642000000003</v>
      </c>
      <c r="G38" s="43">
        <v>34.854492</v>
      </c>
      <c r="H38" s="43">
        <v>36.543221000000003</v>
      </c>
      <c r="I38" s="43">
        <v>38.052788</v>
      </c>
      <c r="J38" s="43">
        <v>38.184742</v>
      </c>
      <c r="K38" s="43">
        <v>38.165191999999998</v>
      </c>
      <c r="L38" s="43">
        <v>38.157668999999999</v>
      </c>
      <c r="M38" s="43">
        <v>38.153773999999999</v>
      </c>
      <c r="N38" s="43">
        <v>38.157932000000002</v>
      </c>
      <c r="O38" s="43">
        <v>38.159923999999997</v>
      </c>
      <c r="P38" s="43">
        <v>38.156787999999999</v>
      </c>
      <c r="Q38" s="43">
        <v>38.142822000000002</v>
      </c>
      <c r="R38" s="43">
        <v>38.113964000000003</v>
      </c>
      <c r="S38" s="43">
        <v>38.076134000000003</v>
      </c>
      <c r="T38" s="43">
        <v>38.023147999999999</v>
      </c>
      <c r="U38" s="43">
        <v>37.969329999999999</v>
      </c>
      <c r="V38" s="43">
        <v>37.918526</v>
      </c>
      <c r="W38" s="43">
        <v>37.871696</v>
      </c>
      <c r="X38" s="43">
        <v>37.820872999999999</v>
      </c>
      <c r="Y38" s="43">
        <v>37.772717</v>
      </c>
      <c r="Z38" s="43">
        <v>37.728248999999998</v>
      </c>
      <c r="AA38" s="43">
        <v>37.681355000000003</v>
      </c>
      <c r="AB38" s="43">
        <v>37.63335</v>
      </c>
      <c r="AC38" s="43">
        <v>37.587811000000002</v>
      </c>
      <c r="AD38" s="43">
        <v>37.537658999999998</v>
      </c>
      <c r="AE38" s="43">
        <v>37.491467</v>
      </c>
      <c r="AF38" s="43">
        <v>37.445076</v>
      </c>
      <c r="AG38" s="43">
        <v>37.395564999999998</v>
      </c>
      <c r="AH38" s="43">
        <v>37.345207000000002</v>
      </c>
      <c r="AI38" s="35">
        <v>7.195E-3</v>
      </c>
      <c r="AJ38" s="36"/>
      <c r="AK38" s="37"/>
    </row>
    <row r="39" spans="1:37" ht="15" customHeight="1" x14ac:dyDescent="0.35">
      <c r="A39" s="29" t="s">
        <v>514</v>
      </c>
      <c r="B39" s="33" t="s">
        <v>513</v>
      </c>
      <c r="C39" s="43">
        <v>24.381997999999999</v>
      </c>
      <c r="D39" s="43">
        <v>25.149729000000001</v>
      </c>
      <c r="E39" s="43">
        <v>26.155182</v>
      </c>
      <c r="F39" s="43">
        <v>27.443028999999999</v>
      </c>
      <c r="G39" s="43">
        <v>28.418890000000001</v>
      </c>
      <c r="H39" s="43">
        <v>29.795808999999998</v>
      </c>
      <c r="I39" s="43">
        <v>31.026646</v>
      </c>
      <c r="J39" s="43">
        <v>31.134236999999999</v>
      </c>
      <c r="K39" s="43">
        <v>31.118296000000001</v>
      </c>
      <c r="L39" s="43">
        <v>31.112162000000001</v>
      </c>
      <c r="M39" s="43">
        <v>31.108986000000002</v>
      </c>
      <c r="N39" s="43">
        <v>31.112376999999999</v>
      </c>
      <c r="O39" s="43">
        <v>31.114000000000001</v>
      </c>
      <c r="P39" s="43">
        <v>31.111443999999999</v>
      </c>
      <c r="Q39" s="43">
        <v>31.100058000000001</v>
      </c>
      <c r="R39" s="43">
        <v>31.076526999999999</v>
      </c>
      <c r="S39" s="43">
        <v>31.045680999999998</v>
      </c>
      <c r="T39" s="43">
        <v>31.002479999999998</v>
      </c>
      <c r="U39" s="43">
        <v>30.958599</v>
      </c>
      <c r="V39" s="43">
        <v>30.917175</v>
      </c>
      <c r="W39" s="43">
        <v>30.878992</v>
      </c>
      <c r="X39" s="43">
        <v>30.837553</v>
      </c>
      <c r="Y39" s="43">
        <v>30.798287999999999</v>
      </c>
      <c r="Z39" s="43">
        <v>30.762032000000001</v>
      </c>
      <c r="AA39" s="43">
        <v>30.723794999999999</v>
      </c>
      <c r="AB39" s="43">
        <v>30.684653999999998</v>
      </c>
      <c r="AC39" s="43">
        <v>30.647524000000001</v>
      </c>
      <c r="AD39" s="43">
        <v>30.606632000000001</v>
      </c>
      <c r="AE39" s="43">
        <v>30.568968000000002</v>
      </c>
      <c r="AF39" s="43">
        <v>30.531143</v>
      </c>
      <c r="AG39" s="43">
        <v>30.490773999999998</v>
      </c>
      <c r="AH39" s="43">
        <v>30.449715000000001</v>
      </c>
      <c r="AI39" s="35">
        <v>7.195E-3</v>
      </c>
      <c r="AJ39" s="36"/>
      <c r="AK39" s="37"/>
    </row>
    <row r="41" spans="1:37" ht="15" customHeight="1" x14ac:dyDescent="0.35">
      <c r="A41" s="25"/>
      <c r="B41" s="32" t="s">
        <v>512</v>
      </c>
      <c r="C41" s="25"/>
      <c r="D41" s="25"/>
      <c r="E41" s="25"/>
      <c r="F41" s="25"/>
      <c r="G41" s="25"/>
      <c r="H41" s="25"/>
      <c r="I41" s="25"/>
      <c r="J41" s="25"/>
      <c r="K41" s="25"/>
      <c r="L41" s="25"/>
      <c r="M41" s="25"/>
      <c r="N41" s="25"/>
      <c r="O41" s="25"/>
      <c r="P41" s="25"/>
      <c r="Q41" s="25"/>
      <c r="R41" s="25"/>
      <c r="S41" s="25"/>
      <c r="T41" s="25"/>
      <c r="U41" s="25"/>
      <c r="V41" s="25"/>
      <c r="W41" s="25"/>
      <c r="X41" s="25"/>
      <c r="Y41" s="25"/>
      <c r="Z41" s="25"/>
      <c r="AA41" s="25"/>
      <c r="AB41" s="25"/>
      <c r="AC41" s="25"/>
      <c r="AD41" s="25"/>
      <c r="AE41" s="25"/>
      <c r="AF41" s="25"/>
      <c r="AG41" s="25"/>
      <c r="AH41" s="25"/>
      <c r="AI41" s="25"/>
    </row>
    <row r="42" spans="1:37" ht="15" customHeight="1" x14ac:dyDescent="0.35">
      <c r="A42" s="29" t="s">
        <v>511</v>
      </c>
      <c r="B42" s="33" t="s">
        <v>474</v>
      </c>
      <c r="C42" s="44">
        <v>0.81661499999999998</v>
      </c>
      <c r="D42" s="44">
        <v>0.81661499999999998</v>
      </c>
      <c r="E42" s="44">
        <v>0.81661499999999998</v>
      </c>
      <c r="F42" s="44">
        <v>0.81661499999999998</v>
      </c>
      <c r="G42" s="44">
        <v>0.81661499999999998</v>
      </c>
      <c r="H42" s="44">
        <v>0.81661499999999998</v>
      </c>
      <c r="I42" s="44">
        <v>0.81661499999999998</v>
      </c>
      <c r="J42" s="44">
        <v>0.81661499999999998</v>
      </c>
      <c r="K42" s="44">
        <v>0.81661499999999998</v>
      </c>
      <c r="L42" s="44">
        <v>0.81661499999999998</v>
      </c>
      <c r="M42" s="44">
        <v>0.81661499999999998</v>
      </c>
      <c r="N42" s="44">
        <v>0.81661499999999998</v>
      </c>
      <c r="O42" s="44">
        <v>0.81661499999999998</v>
      </c>
      <c r="P42" s="44">
        <v>0.81661499999999998</v>
      </c>
      <c r="Q42" s="44">
        <v>0.81661499999999998</v>
      </c>
      <c r="R42" s="44">
        <v>0.81661499999999998</v>
      </c>
      <c r="S42" s="44">
        <v>0.81661499999999998</v>
      </c>
      <c r="T42" s="44">
        <v>0.81661499999999998</v>
      </c>
      <c r="U42" s="44">
        <v>0.81661499999999998</v>
      </c>
      <c r="V42" s="44">
        <v>0.81661499999999998</v>
      </c>
      <c r="W42" s="44">
        <v>0.81661499999999998</v>
      </c>
      <c r="X42" s="44">
        <v>0.81661499999999998</v>
      </c>
      <c r="Y42" s="44">
        <v>0.81661499999999998</v>
      </c>
      <c r="Z42" s="44">
        <v>0.81661499999999998</v>
      </c>
      <c r="AA42" s="44">
        <v>0.81661499999999998</v>
      </c>
      <c r="AB42" s="44">
        <v>0.81661499999999998</v>
      </c>
      <c r="AC42" s="44">
        <v>0.81661499999999998</v>
      </c>
      <c r="AD42" s="44">
        <v>0.81661499999999998</v>
      </c>
      <c r="AE42" s="44">
        <v>0.81661499999999998</v>
      </c>
      <c r="AF42" s="44">
        <v>0.81661499999999998</v>
      </c>
      <c r="AG42" s="44">
        <v>0.81661499999999998</v>
      </c>
      <c r="AH42" s="44">
        <v>0.81661499999999998</v>
      </c>
      <c r="AI42" s="35">
        <v>0</v>
      </c>
      <c r="AJ42" s="45"/>
      <c r="AK42" s="37"/>
    </row>
    <row r="43" spans="1:37" ht="15" customHeight="1" x14ac:dyDescent="0.35">
      <c r="A43" s="29" t="s">
        <v>510</v>
      </c>
      <c r="B43" s="33" t="s">
        <v>472</v>
      </c>
      <c r="C43" s="44">
        <v>0.81535800000000003</v>
      </c>
      <c r="D43" s="44">
        <v>0.81535800000000003</v>
      </c>
      <c r="E43" s="44">
        <v>0.81535800000000003</v>
      </c>
      <c r="F43" s="44">
        <v>0.81535800000000003</v>
      </c>
      <c r="G43" s="44">
        <v>0.81535800000000003</v>
      </c>
      <c r="H43" s="44">
        <v>0.81535800000000003</v>
      </c>
      <c r="I43" s="44">
        <v>0.81535800000000003</v>
      </c>
      <c r="J43" s="44">
        <v>0.81535800000000003</v>
      </c>
      <c r="K43" s="44">
        <v>0.81535800000000003</v>
      </c>
      <c r="L43" s="44">
        <v>0.81535800000000003</v>
      </c>
      <c r="M43" s="44">
        <v>0.81535800000000003</v>
      </c>
      <c r="N43" s="44">
        <v>0.81535800000000003</v>
      </c>
      <c r="O43" s="44">
        <v>0.81535800000000003</v>
      </c>
      <c r="P43" s="44">
        <v>0.81535800000000003</v>
      </c>
      <c r="Q43" s="44">
        <v>0.81535800000000003</v>
      </c>
      <c r="R43" s="44">
        <v>0.81535800000000003</v>
      </c>
      <c r="S43" s="44">
        <v>0.81535800000000003</v>
      </c>
      <c r="T43" s="44">
        <v>0.81535800000000003</v>
      </c>
      <c r="U43" s="44">
        <v>0.81535800000000003</v>
      </c>
      <c r="V43" s="44">
        <v>0.81535800000000003</v>
      </c>
      <c r="W43" s="44">
        <v>0.81535800000000003</v>
      </c>
      <c r="X43" s="44">
        <v>0.81535800000000003</v>
      </c>
      <c r="Y43" s="44">
        <v>0.81535800000000003</v>
      </c>
      <c r="Z43" s="44">
        <v>0.81535800000000003</v>
      </c>
      <c r="AA43" s="44">
        <v>0.81535800000000003</v>
      </c>
      <c r="AB43" s="44">
        <v>0.81535800000000003</v>
      </c>
      <c r="AC43" s="44">
        <v>0.81535800000000003</v>
      </c>
      <c r="AD43" s="44">
        <v>0.81535800000000003</v>
      </c>
      <c r="AE43" s="44">
        <v>0.81535800000000003</v>
      </c>
      <c r="AF43" s="44">
        <v>0.81535800000000003</v>
      </c>
      <c r="AG43" s="44">
        <v>0.81535800000000003</v>
      </c>
      <c r="AH43" s="44">
        <v>0.81535800000000003</v>
      </c>
      <c r="AI43" s="35">
        <v>0</v>
      </c>
      <c r="AJ43" s="45"/>
      <c r="AK43" s="37"/>
    </row>
    <row r="44" spans="1:37" ht="15" customHeight="1" x14ac:dyDescent="0.35">
      <c r="A44" s="19"/>
    </row>
    <row r="45" spans="1:37" ht="15" customHeight="1" x14ac:dyDescent="0.35">
      <c r="A45" s="25"/>
      <c r="B45" s="32" t="s">
        <v>509</v>
      </c>
      <c r="C45" s="25"/>
      <c r="D45" s="25"/>
      <c r="E45" s="25"/>
      <c r="F45" s="25"/>
      <c r="G45" s="25"/>
      <c r="H45" s="25"/>
      <c r="I45" s="25"/>
      <c r="J45" s="25"/>
      <c r="K45" s="25"/>
      <c r="L45" s="25"/>
      <c r="M45" s="25"/>
      <c r="N45" s="25"/>
      <c r="O45" s="25"/>
      <c r="P45" s="25"/>
      <c r="Q45" s="25"/>
      <c r="R45" s="25"/>
      <c r="S45" s="25"/>
      <c r="T45" s="25"/>
      <c r="U45" s="25"/>
      <c r="V45" s="25"/>
      <c r="W45" s="25"/>
      <c r="X45" s="25"/>
      <c r="Y45" s="25"/>
      <c r="Z45" s="25"/>
      <c r="AA45" s="25"/>
      <c r="AB45" s="25"/>
      <c r="AC45" s="25"/>
      <c r="AD45" s="25"/>
      <c r="AE45" s="25"/>
      <c r="AF45" s="25"/>
      <c r="AG45" s="25"/>
      <c r="AH45" s="25"/>
      <c r="AI45" s="25"/>
    </row>
    <row r="46" spans="1:37" ht="15" customHeight="1" x14ac:dyDescent="0.35">
      <c r="A46" s="25"/>
      <c r="B46" s="32" t="s">
        <v>508</v>
      </c>
      <c r="C46" s="25"/>
      <c r="D46" s="25"/>
      <c r="E46" s="25"/>
      <c r="F46" s="25"/>
      <c r="G46" s="25"/>
      <c r="H46" s="25"/>
      <c r="I46" s="25"/>
      <c r="J46" s="25"/>
      <c r="K46" s="25"/>
      <c r="L46" s="25"/>
      <c r="M46" s="25"/>
      <c r="N46" s="25"/>
      <c r="O46" s="25"/>
      <c r="P46" s="25"/>
      <c r="Q46" s="25"/>
      <c r="R46" s="25"/>
      <c r="S46" s="25"/>
      <c r="T46" s="25"/>
      <c r="U46" s="25"/>
      <c r="V46" s="25"/>
      <c r="W46" s="25"/>
      <c r="X46" s="25"/>
      <c r="Y46" s="25"/>
      <c r="Z46" s="25"/>
      <c r="AA46" s="25"/>
      <c r="AB46" s="25"/>
      <c r="AC46" s="25"/>
      <c r="AD46" s="25"/>
      <c r="AE46" s="25"/>
      <c r="AF46" s="25"/>
      <c r="AG46" s="25"/>
      <c r="AH46" s="25"/>
      <c r="AI46" s="25"/>
    </row>
    <row r="47" spans="1:37" ht="15" customHeight="1" x14ac:dyDescent="0.35">
      <c r="A47" s="29" t="s">
        <v>507</v>
      </c>
      <c r="B47" s="33" t="s">
        <v>506</v>
      </c>
      <c r="C47" s="43">
        <v>57.070320000000002</v>
      </c>
      <c r="D47" s="43">
        <v>56.728085</v>
      </c>
      <c r="E47" s="43">
        <v>56.225211999999999</v>
      </c>
      <c r="F47" s="43">
        <v>56.757423000000003</v>
      </c>
      <c r="G47" s="43">
        <v>58.154373</v>
      </c>
      <c r="H47" s="43">
        <v>57.636318000000003</v>
      </c>
      <c r="I47" s="43">
        <v>58.127827000000003</v>
      </c>
      <c r="J47" s="43">
        <v>56.815224000000001</v>
      </c>
      <c r="K47" s="43">
        <v>56.140537000000002</v>
      </c>
      <c r="L47" s="43">
        <v>55.869838999999999</v>
      </c>
      <c r="M47" s="43">
        <v>56.013644999999997</v>
      </c>
      <c r="N47" s="43">
        <v>57.327399999999997</v>
      </c>
      <c r="O47" s="43">
        <v>57.926361</v>
      </c>
      <c r="P47" s="43">
        <v>58.846428000000003</v>
      </c>
      <c r="Q47" s="43">
        <v>59.969481999999999</v>
      </c>
      <c r="R47" s="43">
        <v>60.916279000000003</v>
      </c>
      <c r="S47" s="43">
        <v>61.857875999999997</v>
      </c>
      <c r="T47" s="43">
        <v>62.755665</v>
      </c>
      <c r="U47" s="43">
        <v>63.447673999999999</v>
      </c>
      <c r="V47" s="43">
        <v>64.261566000000002</v>
      </c>
      <c r="W47" s="43">
        <v>65.107024999999993</v>
      </c>
      <c r="X47" s="43">
        <v>65.765395999999996</v>
      </c>
      <c r="Y47" s="43">
        <v>61.089893000000004</v>
      </c>
      <c r="Z47" s="43">
        <v>61.296173000000003</v>
      </c>
      <c r="AA47" s="43">
        <v>61.460887999999997</v>
      </c>
      <c r="AB47" s="43">
        <v>61.613391999999997</v>
      </c>
      <c r="AC47" s="43">
        <v>61.805328000000003</v>
      </c>
      <c r="AD47" s="43">
        <v>61.944724999999998</v>
      </c>
      <c r="AE47" s="43">
        <v>62.175151999999997</v>
      </c>
      <c r="AF47" s="43">
        <v>62.402458000000003</v>
      </c>
      <c r="AG47" s="43">
        <v>62.611851000000001</v>
      </c>
      <c r="AH47" s="43">
        <v>62.813147999999998</v>
      </c>
      <c r="AI47" s="35">
        <v>3.0980000000000001E-3</v>
      </c>
      <c r="AJ47" s="36"/>
      <c r="AK47" s="37"/>
    </row>
    <row r="48" spans="1:37" ht="15" customHeight="1" x14ac:dyDescent="0.35">
      <c r="A48" s="29" t="s">
        <v>505</v>
      </c>
      <c r="B48" s="33" t="s">
        <v>504</v>
      </c>
      <c r="C48" s="43">
        <v>49.373997000000003</v>
      </c>
      <c r="D48" s="43">
        <v>52.365119999999997</v>
      </c>
      <c r="E48" s="43">
        <v>58.031464</v>
      </c>
      <c r="F48" s="43">
        <v>64.885268999999994</v>
      </c>
      <c r="G48" s="43">
        <v>70.034003999999996</v>
      </c>
      <c r="H48" s="43">
        <v>75.486869999999996</v>
      </c>
      <c r="I48" s="43">
        <v>84.177254000000005</v>
      </c>
      <c r="J48" s="43">
        <v>84.909324999999995</v>
      </c>
      <c r="K48" s="43">
        <v>84.643646000000004</v>
      </c>
      <c r="L48" s="43">
        <v>84.680626000000004</v>
      </c>
      <c r="M48" s="43">
        <v>85.337006000000002</v>
      </c>
      <c r="N48" s="43">
        <v>86.612251000000001</v>
      </c>
      <c r="O48" s="43">
        <v>88.084655999999995</v>
      </c>
      <c r="P48" s="43">
        <v>89.900253000000006</v>
      </c>
      <c r="Q48" s="43">
        <v>91.834045000000003</v>
      </c>
      <c r="R48" s="43">
        <v>93.671028000000007</v>
      </c>
      <c r="S48" s="43">
        <v>95.429817</v>
      </c>
      <c r="T48" s="43">
        <v>97.081778999999997</v>
      </c>
      <c r="U48" s="43">
        <v>98.442169000000007</v>
      </c>
      <c r="V48" s="43">
        <v>99.751900000000006</v>
      </c>
      <c r="W48" s="43">
        <v>100.987831</v>
      </c>
      <c r="X48" s="43">
        <v>101.97062699999999</v>
      </c>
      <c r="Y48" s="43">
        <v>102.561905</v>
      </c>
      <c r="Z48" s="43">
        <v>103.231262</v>
      </c>
      <c r="AA48" s="43">
        <v>103.85096</v>
      </c>
      <c r="AB48" s="43">
        <v>104.432007</v>
      </c>
      <c r="AC48" s="43">
        <v>105.07428</v>
      </c>
      <c r="AD48" s="43">
        <v>105.604378</v>
      </c>
      <c r="AE48" s="43">
        <v>106.303032</v>
      </c>
      <c r="AF48" s="43">
        <v>106.974327</v>
      </c>
      <c r="AG48" s="43">
        <v>107.608406</v>
      </c>
      <c r="AH48" s="43">
        <v>108.19858600000001</v>
      </c>
      <c r="AI48" s="35">
        <v>2.5631000000000001E-2</v>
      </c>
      <c r="AJ48" s="36"/>
      <c r="AK48" s="37"/>
    </row>
    <row r="49" spans="1:37" ht="15" customHeight="1" x14ac:dyDescent="0.35">
      <c r="A49" s="29" t="s">
        <v>503</v>
      </c>
      <c r="B49" s="33" t="s">
        <v>502</v>
      </c>
      <c r="C49" s="43">
        <v>59.938125999999997</v>
      </c>
      <c r="D49" s="43">
        <v>63.325676000000001</v>
      </c>
      <c r="E49" s="43">
        <v>68.868713</v>
      </c>
      <c r="F49" s="43">
        <v>73.391982999999996</v>
      </c>
      <c r="G49" s="43">
        <v>77.986557000000005</v>
      </c>
      <c r="H49" s="43">
        <v>81.446640000000002</v>
      </c>
      <c r="I49" s="43">
        <v>90.613784999999993</v>
      </c>
      <c r="J49" s="43">
        <v>90.921013000000002</v>
      </c>
      <c r="K49" s="43">
        <v>90.564468000000005</v>
      </c>
      <c r="L49" s="43">
        <v>90.540993</v>
      </c>
      <c r="M49" s="43">
        <v>91.055785999999998</v>
      </c>
      <c r="N49" s="43">
        <v>92.155602000000002</v>
      </c>
      <c r="O49" s="43">
        <v>93.411788999999999</v>
      </c>
      <c r="P49" s="43">
        <v>94.994300999999993</v>
      </c>
      <c r="Q49" s="43">
        <v>96.681229000000002</v>
      </c>
      <c r="R49" s="43">
        <v>98.317718999999997</v>
      </c>
      <c r="S49" s="43">
        <v>99.893249999999995</v>
      </c>
      <c r="T49" s="43">
        <v>101.371674</v>
      </c>
      <c r="U49" s="43">
        <v>102.58009300000001</v>
      </c>
      <c r="V49" s="43">
        <v>103.736572</v>
      </c>
      <c r="W49" s="43">
        <v>104.829674</v>
      </c>
      <c r="X49" s="43">
        <v>105.719643</v>
      </c>
      <c r="Y49" s="43">
        <v>106.29769899999999</v>
      </c>
      <c r="Z49" s="43">
        <v>106.92141700000001</v>
      </c>
      <c r="AA49" s="43">
        <v>107.492233</v>
      </c>
      <c r="AB49" s="43">
        <v>108.024559</v>
      </c>
      <c r="AC49" s="43">
        <v>108.607933</v>
      </c>
      <c r="AD49" s="43">
        <v>109.10354599999999</v>
      </c>
      <c r="AE49" s="43">
        <v>109.736504</v>
      </c>
      <c r="AF49" s="43">
        <v>110.353127</v>
      </c>
      <c r="AG49" s="43">
        <v>110.941422</v>
      </c>
      <c r="AH49" s="43">
        <v>111.496132</v>
      </c>
      <c r="AI49" s="35">
        <v>2.0223999999999999E-2</v>
      </c>
      <c r="AJ49" s="36"/>
      <c r="AK49" s="37"/>
    </row>
    <row r="50" spans="1:37" ht="15" customHeight="1" x14ac:dyDescent="0.35">
      <c r="A50" s="29" t="s">
        <v>501</v>
      </c>
      <c r="B50" s="33" t="s">
        <v>500</v>
      </c>
      <c r="C50" s="43">
        <v>93.039008999999993</v>
      </c>
      <c r="D50" s="43">
        <v>99.411529999999999</v>
      </c>
      <c r="E50" s="43">
        <v>106.36039700000001</v>
      </c>
      <c r="F50" s="43">
        <v>108.98303199999999</v>
      </c>
      <c r="G50" s="43">
        <v>110.547157</v>
      </c>
      <c r="H50" s="43">
        <v>112.438591</v>
      </c>
      <c r="I50" s="43">
        <v>119.46663700000001</v>
      </c>
      <c r="J50" s="43">
        <v>119.58113899999999</v>
      </c>
      <c r="K50" s="43">
        <v>119.52050800000001</v>
      </c>
      <c r="L50" s="43">
        <v>119.542053</v>
      </c>
      <c r="M50" s="43">
        <v>119.771484</v>
      </c>
      <c r="N50" s="43">
        <v>120.180336</v>
      </c>
      <c r="O50" s="43">
        <v>120.568321</v>
      </c>
      <c r="P50" s="43">
        <v>120.997131</v>
      </c>
      <c r="Q50" s="43">
        <v>121.470276</v>
      </c>
      <c r="R50" s="43">
        <v>121.945412</v>
      </c>
      <c r="S50" s="43">
        <v>122.39247899999999</v>
      </c>
      <c r="T50" s="43">
        <v>122.787155</v>
      </c>
      <c r="U50" s="43">
        <v>123.084587</v>
      </c>
      <c r="V50" s="43">
        <v>123.34967</v>
      </c>
      <c r="W50" s="43">
        <v>123.58152800000001</v>
      </c>
      <c r="X50" s="43">
        <v>123.744293</v>
      </c>
      <c r="Y50" s="43">
        <v>123.897385</v>
      </c>
      <c r="Z50" s="43">
        <v>124.069626</v>
      </c>
      <c r="AA50" s="43">
        <v>124.22204600000001</v>
      </c>
      <c r="AB50" s="43">
        <v>124.364372</v>
      </c>
      <c r="AC50" s="43">
        <v>124.52069899999999</v>
      </c>
      <c r="AD50" s="43">
        <v>124.643501</v>
      </c>
      <c r="AE50" s="43">
        <v>124.808594</v>
      </c>
      <c r="AF50" s="43">
        <v>124.96163900000001</v>
      </c>
      <c r="AG50" s="43">
        <v>125.109146</v>
      </c>
      <c r="AH50" s="43">
        <v>125.247292</v>
      </c>
      <c r="AI50" s="35">
        <v>9.6360000000000005E-3</v>
      </c>
      <c r="AJ50" s="36"/>
      <c r="AK50" s="37"/>
    </row>
    <row r="51" spans="1:37" ht="15" customHeight="1" x14ac:dyDescent="0.35">
      <c r="A51" s="29" t="s">
        <v>499</v>
      </c>
      <c r="B51" s="33" t="s">
        <v>498</v>
      </c>
      <c r="C51" s="43">
        <v>63.376598000000001</v>
      </c>
      <c r="D51" s="43">
        <v>72.371216000000004</v>
      </c>
      <c r="E51" s="43">
        <v>81.192795000000004</v>
      </c>
      <c r="F51" s="43">
        <v>84.499511999999996</v>
      </c>
      <c r="G51" s="43">
        <v>87.392792</v>
      </c>
      <c r="H51" s="43">
        <v>89.982169999999996</v>
      </c>
      <c r="I51" s="43">
        <v>96.653580000000005</v>
      </c>
      <c r="J51" s="43">
        <v>96.763458</v>
      </c>
      <c r="K51" s="43">
        <v>97.051772999999997</v>
      </c>
      <c r="L51" s="43">
        <v>97.515784999999994</v>
      </c>
      <c r="M51" s="43">
        <v>98.235709999999997</v>
      </c>
      <c r="N51" s="43">
        <v>99.151893999999999</v>
      </c>
      <c r="O51" s="43">
        <v>100.005264</v>
      </c>
      <c r="P51" s="43">
        <v>100.898689</v>
      </c>
      <c r="Q51" s="43">
        <v>101.809296</v>
      </c>
      <c r="R51" s="43">
        <v>102.63159899999999</v>
      </c>
      <c r="S51" s="43">
        <v>103.38215599999999</v>
      </c>
      <c r="T51" s="43">
        <v>104.051613</v>
      </c>
      <c r="U51" s="43">
        <v>104.567795</v>
      </c>
      <c r="V51" s="43">
        <v>105.03198999999999</v>
      </c>
      <c r="W51" s="43">
        <v>105.44441999999999</v>
      </c>
      <c r="X51" s="43">
        <v>105.74355300000001</v>
      </c>
      <c r="Y51" s="43">
        <v>105.971344</v>
      </c>
      <c r="Z51" s="43">
        <v>106.22659299999999</v>
      </c>
      <c r="AA51" s="43">
        <v>106.451424</v>
      </c>
      <c r="AB51" s="43">
        <v>106.65673099999999</v>
      </c>
      <c r="AC51" s="43">
        <v>106.882874</v>
      </c>
      <c r="AD51" s="43">
        <v>107.057541</v>
      </c>
      <c r="AE51" s="43">
        <v>107.296143</v>
      </c>
      <c r="AF51" s="43">
        <v>107.52010300000001</v>
      </c>
      <c r="AG51" s="43">
        <v>107.73221599999999</v>
      </c>
      <c r="AH51" s="43">
        <v>107.92879499999999</v>
      </c>
      <c r="AI51" s="35">
        <v>1.7322000000000001E-2</v>
      </c>
      <c r="AJ51" s="36"/>
      <c r="AK51" s="37"/>
    </row>
    <row r="52" spans="1:37" ht="15" customHeight="1" x14ac:dyDescent="0.35">
      <c r="A52" s="29" t="s">
        <v>497</v>
      </c>
      <c r="B52" s="33" t="s">
        <v>496</v>
      </c>
      <c r="C52" s="43">
        <v>37.252974999999999</v>
      </c>
      <c r="D52" s="43">
        <v>41.826011999999999</v>
      </c>
      <c r="E52" s="43">
        <v>45.782837000000001</v>
      </c>
      <c r="F52" s="43">
        <v>48.508633000000003</v>
      </c>
      <c r="G52" s="43">
        <v>53.097275000000003</v>
      </c>
      <c r="H52" s="43">
        <v>56.189177999999998</v>
      </c>
      <c r="I52" s="43">
        <v>61.432758</v>
      </c>
      <c r="J52" s="43">
        <v>62.078311999999997</v>
      </c>
      <c r="K52" s="43">
        <v>62.599730999999998</v>
      </c>
      <c r="L52" s="43">
        <v>63.371563000000002</v>
      </c>
      <c r="M52" s="43">
        <v>64.532227000000006</v>
      </c>
      <c r="N52" s="43">
        <v>66.679580999999999</v>
      </c>
      <c r="O52" s="43">
        <v>68.597656000000001</v>
      </c>
      <c r="P52" s="43">
        <v>70.764472999999995</v>
      </c>
      <c r="Q52" s="43">
        <v>73.198463000000004</v>
      </c>
      <c r="R52" s="43">
        <v>75.439414999999997</v>
      </c>
      <c r="S52" s="43">
        <v>77.574860000000001</v>
      </c>
      <c r="T52" s="43">
        <v>79.645058000000006</v>
      </c>
      <c r="U52" s="43">
        <v>81.370529000000005</v>
      </c>
      <c r="V52" s="43">
        <v>83.119926000000007</v>
      </c>
      <c r="W52" s="43">
        <v>84.822890999999998</v>
      </c>
      <c r="X52" s="43">
        <v>86.219818000000004</v>
      </c>
      <c r="Y52" s="43">
        <v>87.125045999999998</v>
      </c>
      <c r="Z52" s="43">
        <v>88.161918999999997</v>
      </c>
      <c r="AA52" s="43">
        <v>89.086121000000006</v>
      </c>
      <c r="AB52" s="43">
        <v>89.943268000000003</v>
      </c>
      <c r="AC52" s="43">
        <v>90.893364000000005</v>
      </c>
      <c r="AD52" s="43">
        <v>91.683402999999998</v>
      </c>
      <c r="AE52" s="43">
        <v>92.734145999999996</v>
      </c>
      <c r="AF52" s="43">
        <v>93.756607000000002</v>
      </c>
      <c r="AG52" s="43">
        <v>94.714371</v>
      </c>
      <c r="AH52" s="43">
        <v>95.614188999999996</v>
      </c>
      <c r="AI52" s="35">
        <v>3.0873000000000001E-2</v>
      </c>
      <c r="AJ52" s="36"/>
      <c r="AK52" s="37"/>
    </row>
    <row r="53" spans="1:37" ht="15" customHeight="1" x14ac:dyDescent="0.35">
      <c r="A53" s="29" t="s">
        <v>630</v>
      </c>
      <c r="B53" s="33" t="s">
        <v>548</v>
      </c>
      <c r="C53" s="43">
        <v>57.572861000000003</v>
      </c>
      <c r="D53" s="43">
        <v>58.568382</v>
      </c>
      <c r="E53" s="43">
        <v>60.136288</v>
      </c>
      <c r="F53" s="43">
        <v>62.700885999999997</v>
      </c>
      <c r="G53" s="43">
        <v>65.815132000000006</v>
      </c>
      <c r="H53" s="43">
        <v>69.526580999999993</v>
      </c>
      <c r="I53" s="43">
        <v>77.203948999999994</v>
      </c>
      <c r="J53" s="43">
        <v>77.864563000000004</v>
      </c>
      <c r="K53" s="43">
        <v>78.018523999999999</v>
      </c>
      <c r="L53" s="43">
        <v>78.360198999999994</v>
      </c>
      <c r="M53" s="43">
        <v>79.065842000000004</v>
      </c>
      <c r="N53" s="43">
        <v>80.090355000000002</v>
      </c>
      <c r="O53" s="43">
        <v>81.202713000000003</v>
      </c>
      <c r="P53" s="43">
        <v>82.522728000000001</v>
      </c>
      <c r="Q53" s="43">
        <v>83.931145000000001</v>
      </c>
      <c r="R53" s="43">
        <v>85.266623999999993</v>
      </c>
      <c r="S53" s="43">
        <v>86.539574000000002</v>
      </c>
      <c r="T53" s="43">
        <v>87.739151000000007</v>
      </c>
      <c r="U53" s="43">
        <v>88.744545000000002</v>
      </c>
      <c r="V53" s="43">
        <v>89.734024000000005</v>
      </c>
      <c r="W53" s="43">
        <v>90.681099000000003</v>
      </c>
      <c r="X53" s="43">
        <v>91.458397000000005</v>
      </c>
      <c r="Y53" s="43">
        <v>91.922584999999998</v>
      </c>
      <c r="Z53" s="43">
        <v>92.427398999999994</v>
      </c>
      <c r="AA53" s="43">
        <v>92.882210000000001</v>
      </c>
      <c r="AB53" s="43">
        <v>93.307738999999998</v>
      </c>
      <c r="AC53" s="43">
        <v>93.785529999999994</v>
      </c>
      <c r="AD53" s="43">
        <v>94.176970999999995</v>
      </c>
      <c r="AE53" s="43">
        <v>94.743110999999999</v>
      </c>
      <c r="AF53" s="43">
        <v>95.311760000000007</v>
      </c>
      <c r="AG53" s="43">
        <v>95.851585</v>
      </c>
      <c r="AH53" s="43">
        <v>96.380279999999999</v>
      </c>
      <c r="AI53" s="35">
        <v>1.6760000000000001E-2</v>
      </c>
      <c r="AJ53" s="36"/>
      <c r="AK53" s="37"/>
    </row>
    <row r="54" spans="1:37" ht="15" customHeight="1" x14ac:dyDescent="0.35">
      <c r="A54" s="29" t="s">
        <v>631</v>
      </c>
      <c r="B54" s="33" t="s">
        <v>549</v>
      </c>
      <c r="C54" s="43">
        <v>53.258862000000001</v>
      </c>
      <c r="D54" s="43">
        <v>61.003673999999997</v>
      </c>
      <c r="E54" s="43">
        <v>67.822990000000004</v>
      </c>
      <c r="F54" s="43">
        <v>71.163276999999994</v>
      </c>
      <c r="G54" s="43">
        <v>74.516945000000007</v>
      </c>
      <c r="H54" s="43">
        <v>79.461539999999999</v>
      </c>
      <c r="I54" s="43">
        <v>84.624435000000005</v>
      </c>
      <c r="J54" s="43">
        <v>85.117255999999998</v>
      </c>
      <c r="K54" s="43">
        <v>85.354279000000005</v>
      </c>
      <c r="L54" s="43">
        <v>85.643676999999997</v>
      </c>
      <c r="M54" s="43">
        <v>86.157013000000006</v>
      </c>
      <c r="N54" s="43">
        <v>86.757866000000007</v>
      </c>
      <c r="O54" s="43">
        <v>87.505088999999998</v>
      </c>
      <c r="P54" s="43">
        <v>88.426688999999996</v>
      </c>
      <c r="Q54" s="43">
        <v>89.299453999999997</v>
      </c>
      <c r="R54" s="43">
        <v>90.067374999999998</v>
      </c>
      <c r="S54" s="43">
        <v>90.754562000000007</v>
      </c>
      <c r="T54" s="43">
        <v>91.365325999999996</v>
      </c>
      <c r="U54" s="43">
        <v>91.843613000000005</v>
      </c>
      <c r="V54" s="43">
        <v>92.283660999999995</v>
      </c>
      <c r="W54" s="43">
        <v>92.683525000000003</v>
      </c>
      <c r="X54" s="43">
        <v>92.979622000000006</v>
      </c>
      <c r="Y54" s="43">
        <v>93.178344999999993</v>
      </c>
      <c r="Z54" s="43">
        <v>93.405570999999995</v>
      </c>
      <c r="AA54" s="43">
        <v>93.603592000000006</v>
      </c>
      <c r="AB54" s="43">
        <v>93.787887999999995</v>
      </c>
      <c r="AC54" s="43">
        <v>93.999709999999993</v>
      </c>
      <c r="AD54" s="43">
        <v>94.161591000000001</v>
      </c>
      <c r="AE54" s="43">
        <v>94.391318999999996</v>
      </c>
      <c r="AF54" s="43">
        <v>94.606444999999994</v>
      </c>
      <c r="AG54" s="43">
        <v>94.808166999999997</v>
      </c>
      <c r="AH54" s="43">
        <v>94.997726</v>
      </c>
      <c r="AI54" s="35">
        <v>1.8842999999999999E-2</v>
      </c>
      <c r="AJ54" s="36"/>
      <c r="AK54" s="37"/>
    </row>
    <row r="55" spans="1:37" ht="15" customHeight="1" x14ac:dyDescent="0.35">
      <c r="A55" s="29" t="s">
        <v>495</v>
      </c>
      <c r="B55" s="33" t="s">
        <v>494</v>
      </c>
      <c r="C55" s="43">
        <v>75.36927</v>
      </c>
      <c r="D55" s="43">
        <v>80.259438000000003</v>
      </c>
      <c r="E55" s="43">
        <v>87.643303000000003</v>
      </c>
      <c r="F55" s="43">
        <v>90.875602999999998</v>
      </c>
      <c r="G55" s="43">
        <v>93.243645000000001</v>
      </c>
      <c r="H55" s="43">
        <v>95.913094000000001</v>
      </c>
      <c r="I55" s="43">
        <v>102.928612</v>
      </c>
      <c r="J55" s="43">
        <v>103.18358600000001</v>
      </c>
      <c r="K55" s="43">
        <v>103.019775</v>
      </c>
      <c r="L55" s="43">
        <v>103.061752</v>
      </c>
      <c r="M55" s="43">
        <v>103.326836</v>
      </c>
      <c r="N55" s="43">
        <v>103.730782</v>
      </c>
      <c r="O55" s="43">
        <v>104.56356</v>
      </c>
      <c r="P55" s="43">
        <v>105.325401</v>
      </c>
      <c r="Q55" s="43">
        <v>106.054199</v>
      </c>
      <c r="R55" s="43">
        <v>106.786652</v>
      </c>
      <c r="S55" s="43">
        <v>107.49603999999999</v>
      </c>
      <c r="T55" s="43">
        <v>108.095657</v>
      </c>
      <c r="U55" s="43">
        <v>108.624329</v>
      </c>
      <c r="V55" s="43">
        <v>109.021721</v>
      </c>
      <c r="W55" s="43">
        <v>109.41231500000001</v>
      </c>
      <c r="X55" s="43">
        <v>109.756226</v>
      </c>
      <c r="Y55" s="43">
        <v>109.900032</v>
      </c>
      <c r="Z55" s="43">
        <v>110.11597399999999</v>
      </c>
      <c r="AA55" s="43">
        <v>110.38252300000001</v>
      </c>
      <c r="AB55" s="43">
        <v>110.603706</v>
      </c>
      <c r="AC55" s="43">
        <v>110.82504299999999</v>
      </c>
      <c r="AD55" s="43">
        <v>111.068764</v>
      </c>
      <c r="AE55" s="43">
        <v>111.273087</v>
      </c>
      <c r="AF55" s="43">
        <v>111.550911</v>
      </c>
      <c r="AG55" s="43">
        <v>111.804688</v>
      </c>
      <c r="AH55" s="43">
        <v>112.04589799999999</v>
      </c>
      <c r="AI55" s="35">
        <v>1.2873000000000001E-2</v>
      </c>
      <c r="AJ55" s="36"/>
      <c r="AK55" s="37"/>
    </row>
    <row r="56" spans="1:37" ht="15" customHeight="1" x14ac:dyDescent="0.35">
      <c r="A56" s="19"/>
    </row>
    <row r="57" spans="1:37" ht="15" customHeight="1" x14ac:dyDescent="0.35">
      <c r="A57" s="25"/>
      <c r="B57" s="32" t="s">
        <v>493</v>
      </c>
      <c r="C57" s="25"/>
      <c r="D57" s="25"/>
      <c r="E57" s="25"/>
      <c r="F57" s="25"/>
      <c r="G57" s="25"/>
      <c r="H57" s="25"/>
      <c r="I57" s="25"/>
      <c r="J57" s="25"/>
      <c r="K57" s="25"/>
      <c r="L57" s="25"/>
      <c r="M57" s="25"/>
      <c r="N57" s="25"/>
      <c r="O57" s="25"/>
      <c r="P57" s="25"/>
      <c r="Q57" s="25"/>
      <c r="R57" s="25"/>
      <c r="S57" s="25"/>
      <c r="T57" s="25"/>
      <c r="U57" s="25"/>
      <c r="V57" s="25"/>
      <c r="W57" s="25"/>
      <c r="X57" s="25"/>
      <c r="Y57" s="25"/>
      <c r="Z57" s="25"/>
      <c r="AA57" s="25"/>
      <c r="AB57" s="25"/>
      <c r="AC57" s="25"/>
      <c r="AD57" s="25"/>
      <c r="AE57" s="25"/>
      <c r="AF57" s="25"/>
      <c r="AG57" s="25"/>
      <c r="AH57" s="25"/>
      <c r="AI57" s="25"/>
    </row>
    <row r="58" spans="1:37" ht="15" customHeight="1" x14ac:dyDescent="0.35">
      <c r="A58" s="29" t="s">
        <v>492</v>
      </c>
      <c r="B58" s="33" t="s">
        <v>491</v>
      </c>
      <c r="C58" s="43">
        <v>31.667079999999999</v>
      </c>
      <c r="D58" s="43">
        <v>36.531322000000003</v>
      </c>
      <c r="E58" s="43">
        <v>38.083720999999997</v>
      </c>
      <c r="F58" s="43">
        <v>40.269604000000001</v>
      </c>
      <c r="G58" s="43">
        <v>41.814898999999997</v>
      </c>
      <c r="H58" s="43">
        <v>44.479022999999998</v>
      </c>
      <c r="I58" s="43">
        <v>47.032359999999997</v>
      </c>
      <c r="J58" s="43">
        <v>46.861258999999997</v>
      </c>
      <c r="K58" s="43">
        <v>46.999622000000002</v>
      </c>
      <c r="L58" s="43">
        <v>47.167290000000001</v>
      </c>
      <c r="M58" s="43">
        <v>47.393420999999996</v>
      </c>
      <c r="N58" s="43">
        <v>47.726677000000002</v>
      </c>
      <c r="O58" s="43">
        <v>48.087898000000003</v>
      </c>
      <c r="P58" s="43">
        <v>48.480141000000003</v>
      </c>
      <c r="Q58" s="43">
        <v>48.915500999999999</v>
      </c>
      <c r="R58" s="43">
        <v>49.326014999999998</v>
      </c>
      <c r="S58" s="43">
        <v>49.697712000000003</v>
      </c>
      <c r="T58" s="43">
        <v>50.029967999999997</v>
      </c>
      <c r="U58" s="43">
        <v>50.312041999999998</v>
      </c>
      <c r="V58" s="43">
        <v>50.615645999999998</v>
      </c>
      <c r="W58" s="43">
        <v>50.933112999999999</v>
      </c>
      <c r="X58" s="43">
        <v>51.175697</v>
      </c>
      <c r="Y58" s="43">
        <v>51.326186999999997</v>
      </c>
      <c r="Z58" s="43">
        <v>51.518008999999999</v>
      </c>
      <c r="AA58" s="43">
        <v>51.669350000000001</v>
      </c>
      <c r="AB58" s="43">
        <v>51.810757000000002</v>
      </c>
      <c r="AC58" s="43">
        <v>51.992542</v>
      </c>
      <c r="AD58" s="43">
        <v>52.103656999999998</v>
      </c>
      <c r="AE58" s="43">
        <v>52.309361000000003</v>
      </c>
      <c r="AF58" s="43">
        <v>52.487507000000001</v>
      </c>
      <c r="AG58" s="43">
        <v>52.653407999999999</v>
      </c>
      <c r="AH58" s="43">
        <v>52.80545</v>
      </c>
      <c r="AI58" s="35">
        <v>1.6631E-2</v>
      </c>
      <c r="AJ58" s="36"/>
      <c r="AK58" s="37"/>
    </row>
    <row r="59" spans="1:37" ht="15" customHeight="1" x14ac:dyDescent="0.35">
      <c r="A59" s="29" t="s">
        <v>490</v>
      </c>
      <c r="B59" s="33" t="s">
        <v>489</v>
      </c>
      <c r="C59" s="43">
        <v>28.565308000000002</v>
      </c>
      <c r="D59" s="43">
        <v>29.794647000000001</v>
      </c>
      <c r="E59" s="43">
        <v>30.802385000000001</v>
      </c>
      <c r="F59" s="43">
        <v>31.865658</v>
      </c>
      <c r="G59" s="43">
        <v>32.843777000000003</v>
      </c>
      <c r="H59" s="43">
        <v>34.624889000000003</v>
      </c>
      <c r="I59" s="43">
        <v>36.440845000000003</v>
      </c>
      <c r="J59" s="43">
        <v>36.592914999999998</v>
      </c>
      <c r="K59" s="43">
        <v>36.764598999999997</v>
      </c>
      <c r="L59" s="43">
        <v>36.919395000000002</v>
      </c>
      <c r="M59" s="43">
        <v>37.072201</v>
      </c>
      <c r="N59" s="43">
        <v>37.240611999999999</v>
      </c>
      <c r="O59" s="43">
        <v>37.427906</v>
      </c>
      <c r="P59" s="43">
        <v>37.612170999999996</v>
      </c>
      <c r="Q59" s="43">
        <v>37.797832</v>
      </c>
      <c r="R59" s="43">
        <v>37.952438000000001</v>
      </c>
      <c r="S59" s="43">
        <v>38.075920000000004</v>
      </c>
      <c r="T59" s="43">
        <v>38.185378999999998</v>
      </c>
      <c r="U59" s="43">
        <v>38.271160000000002</v>
      </c>
      <c r="V59" s="43">
        <v>38.362468999999997</v>
      </c>
      <c r="W59" s="43">
        <v>38.453006999999999</v>
      </c>
      <c r="X59" s="43">
        <v>38.518397999999998</v>
      </c>
      <c r="Y59" s="43">
        <v>38.570770000000003</v>
      </c>
      <c r="Z59" s="43">
        <v>38.643684</v>
      </c>
      <c r="AA59" s="43">
        <v>38.699390000000001</v>
      </c>
      <c r="AB59" s="43">
        <v>38.755070000000003</v>
      </c>
      <c r="AC59" s="43">
        <v>38.821510000000004</v>
      </c>
      <c r="AD59" s="43">
        <v>38.863773000000002</v>
      </c>
      <c r="AE59" s="43">
        <v>38.942867</v>
      </c>
      <c r="AF59" s="43">
        <v>39.007072000000001</v>
      </c>
      <c r="AG59" s="43">
        <v>39.067368000000002</v>
      </c>
      <c r="AH59" s="43">
        <v>39.124924</v>
      </c>
      <c r="AI59" s="35">
        <v>1.0199E-2</v>
      </c>
      <c r="AJ59" s="36"/>
      <c r="AK59" s="37"/>
    </row>
    <row r="60" spans="1:37" ht="15" customHeight="1" x14ac:dyDescent="0.35">
      <c r="A60" s="29" t="s">
        <v>488</v>
      </c>
      <c r="B60" s="33" t="s">
        <v>487</v>
      </c>
      <c r="C60" s="43">
        <v>32.058208</v>
      </c>
      <c r="D60" s="43">
        <v>37.344627000000003</v>
      </c>
      <c r="E60" s="43">
        <v>39.589911999999998</v>
      </c>
      <c r="F60" s="43">
        <v>42.488067999999998</v>
      </c>
      <c r="G60" s="43">
        <v>43.980167000000002</v>
      </c>
      <c r="H60" s="43">
        <v>46.281723</v>
      </c>
      <c r="I60" s="43">
        <v>48.812182999999997</v>
      </c>
      <c r="J60" s="43">
        <v>48.898364999999998</v>
      </c>
      <c r="K60" s="43">
        <v>49.037430000000001</v>
      </c>
      <c r="L60" s="43">
        <v>49.194794000000002</v>
      </c>
      <c r="M60" s="43">
        <v>49.405678000000002</v>
      </c>
      <c r="N60" s="43">
        <v>49.726562000000001</v>
      </c>
      <c r="O60" s="43">
        <v>50.042121999999999</v>
      </c>
      <c r="P60" s="43">
        <v>50.392116999999999</v>
      </c>
      <c r="Q60" s="43">
        <v>50.761443999999997</v>
      </c>
      <c r="R60" s="43">
        <v>51.107951999999997</v>
      </c>
      <c r="S60" s="43">
        <v>51.442225999999998</v>
      </c>
      <c r="T60" s="43">
        <v>51.772826999999999</v>
      </c>
      <c r="U60" s="43">
        <v>52.039406</v>
      </c>
      <c r="V60" s="43">
        <v>52.307129000000003</v>
      </c>
      <c r="W60" s="43">
        <v>52.571784999999998</v>
      </c>
      <c r="X60" s="43">
        <v>52.777884999999998</v>
      </c>
      <c r="Y60" s="43">
        <v>52.898113000000002</v>
      </c>
      <c r="Z60" s="43">
        <v>53.045699999999997</v>
      </c>
      <c r="AA60" s="43">
        <v>53.167175</v>
      </c>
      <c r="AB60" s="43">
        <v>53.278354999999998</v>
      </c>
      <c r="AC60" s="43">
        <v>53.414551000000003</v>
      </c>
      <c r="AD60" s="43">
        <v>53.504435999999998</v>
      </c>
      <c r="AE60" s="43">
        <v>53.653934</v>
      </c>
      <c r="AF60" s="43">
        <v>53.792167999999997</v>
      </c>
      <c r="AG60" s="43">
        <v>53.921764000000003</v>
      </c>
      <c r="AH60" s="43">
        <v>54.036320000000003</v>
      </c>
      <c r="AI60" s="35">
        <v>1.6985E-2</v>
      </c>
      <c r="AJ60" s="36"/>
      <c r="AK60" s="37"/>
    </row>
    <row r="61" spans="1:37" ht="15" customHeight="1" x14ac:dyDescent="0.35">
      <c r="A61" s="29" t="s">
        <v>486</v>
      </c>
      <c r="B61" s="33" t="s">
        <v>485</v>
      </c>
      <c r="C61" s="43">
        <v>39.379767999999999</v>
      </c>
      <c r="D61" s="43">
        <v>43.034320999999998</v>
      </c>
      <c r="E61" s="43">
        <v>45.063305</v>
      </c>
      <c r="F61" s="43">
        <v>47.468860999999997</v>
      </c>
      <c r="G61" s="43">
        <v>49.934882999999999</v>
      </c>
      <c r="H61" s="43">
        <v>52.759932999999997</v>
      </c>
      <c r="I61" s="43">
        <v>54.465358999999999</v>
      </c>
      <c r="J61" s="43">
        <v>53.242652999999997</v>
      </c>
      <c r="K61" s="43">
        <v>52.969012999999997</v>
      </c>
      <c r="L61" s="43">
        <v>52.793982999999997</v>
      </c>
      <c r="M61" s="43">
        <v>52.757671000000002</v>
      </c>
      <c r="N61" s="43">
        <v>52.87603</v>
      </c>
      <c r="O61" s="43">
        <v>52.996521000000001</v>
      </c>
      <c r="P61" s="43">
        <v>53.174582999999998</v>
      </c>
      <c r="Q61" s="43">
        <v>53.374104000000003</v>
      </c>
      <c r="R61" s="43">
        <v>53.536769999999997</v>
      </c>
      <c r="S61" s="43">
        <v>53.675700999999997</v>
      </c>
      <c r="T61" s="43">
        <v>53.799624999999999</v>
      </c>
      <c r="U61" s="43">
        <v>53.871673999999999</v>
      </c>
      <c r="V61" s="43">
        <v>53.951855000000002</v>
      </c>
      <c r="W61" s="43">
        <v>54.035438999999997</v>
      </c>
      <c r="X61" s="43">
        <v>54.072299999999998</v>
      </c>
      <c r="Y61" s="43">
        <v>54.078975999999997</v>
      </c>
      <c r="Z61" s="43">
        <v>54.112304999999999</v>
      </c>
      <c r="AA61" s="43">
        <v>54.119911000000002</v>
      </c>
      <c r="AB61" s="43">
        <v>54.122894000000002</v>
      </c>
      <c r="AC61" s="43">
        <v>54.146281999999999</v>
      </c>
      <c r="AD61" s="43">
        <v>54.126410999999997</v>
      </c>
      <c r="AE61" s="43">
        <v>54.158268</v>
      </c>
      <c r="AF61" s="43">
        <v>54.173594999999999</v>
      </c>
      <c r="AG61" s="43">
        <v>54.178463000000001</v>
      </c>
      <c r="AH61" s="43">
        <v>54.177188999999998</v>
      </c>
      <c r="AI61" s="35">
        <v>1.0344000000000001E-2</v>
      </c>
      <c r="AJ61" s="36"/>
      <c r="AK61" s="37"/>
    </row>
    <row r="62" spans="1:37" ht="15" customHeight="1" x14ac:dyDescent="0.35">
      <c r="A62" s="29" t="s">
        <v>484</v>
      </c>
      <c r="B62" s="33" t="s">
        <v>483</v>
      </c>
      <c r="C62" s="43">
        <v>32.829783999999997</v>
      </c>
      <c r="D62" s="43">
        <v>36.244228</v>
      </c>
      <c r="E62" s="43">
        <v>40.061751999999998</v>
      </c>
      <c r="F62" s="43">
        <v>44.128906000000001</v>
      </c>
      <c r="G62" s="43">
        <v>47.627234999999999</v>
      </c>
      <c r="H62" s="43">
        <v>51.617733000000001</v>
      </c>
      <c r="I62" s="43">
        <v>53.787174</v>
      </c>
      <c r="J62" s="43">
        <v>53.537441000000001</v>
      </c>
      <c r="K62" s="43">
        <v>53.578772999999998</v>
      </c>
      <c r="L62" s="43">
        <v>53.703243000000001</v>
      </c>
      <c r="M62" s="43">
        <v>53.972881000000001</v>
      </c>
      <c r="N62" s="43">
        <v>54.446323</v>
      </c>
      <c r="O62" s="43">
        <v>54.911102</v>
      </c>
      <c r="P62" s="43">
        <v>55.445534000000002</v>
      </c>
      <c r="Q62" s="43">
        <v>56.014457999999998</v>
      </c>
      <c r="R62" s="43">
        <v>56.552235000000003</v>
      </c>
      <c r="S62" s="43">
        <v>57.045521000000001</v>
      </c>
      <c r="T62" s="43">
        <v>57.520245000000003</v>
      </c>
      <c r="U62" s="43">
        <v>57.890937999999998</v>
      </c>
      <c r="V62" s="43">
        <v>58.271473</v>
      </c>
      <c r="W62" s="43">
        <v>58.644813999999997</v>
      </c>
      <c r="X62" s="43">
        <v>58.915084999999998</v>
      </c>
      <c r="Y62" s="43">
        <v>59.035178999999999</v>
      </c>
      <c r="Z62" s="43">
        <v>59.196612999999999</v>
      </c>
      <c r="AA62" s="43">
        <v>59.314895999999997</v>
      </c>
      <c r="AB62" s="43">
        <v>59.414138999999999</v>
      </c>
      <c r="AC62" s="43">
        <v>59.549793000000001</v>
      </c>
      <c r="AD62" s="43">
        <v>59.606673999999998</v>
      </c>
      <c r="AE62" s="43">
        <v>59.768096999999997</v>
      </c>
      <c r="AF62" s="43">
        <v>59.902068999999997</v>
      </c>
      <c r="AG62" s="43">
        <v>60.013866</v>
      </c>
      <c r="AH62" s="43">
        <v>60.102715000000003</v>
      </c>
      <c r="AI62" s="35">
        <v>1.9699000000000001E-2</v>
      </c>
      <c r="AJ62" s="36"/>
      <c r="AK62" s="37"/>
    </row>
    <row r="63" spans="1:37" ht="15" customHeight="1" x14ac:dyDescent="0.35">
      <c r="A63" s="29" t="s">
        <v>482</v>
      </c>
      <c r="B63" s="33" t="s">
        <v>481</v>
      </c>
      <c r="C63" s="43">
        <v>28.389875</v>
      </c>
      <c r="D63" s="43">
        <v>29.862577000000002</v>
      </c>
      <c r="E63" s="43">
        <v>30.99267</v>
      </c>
      <c r="F63" s="43">
        <v>32.217140000000001</v>
      </c>
      <c r="G63" s="43">
        <v>33.232692999999998</v>
      </c>
      <c r="H63" s="43">
        <v>35.463970000000003</v>
      </c>
      <c r="I63" s="43">
        <v>37.967804000000001</v>
      </c>
      <c r="J63" s="43">
        <v>38.058605</v>
      </c>
      <c r="K63" s="43">
        <v>38.195816000000001</v>
      </c>
      <c r="L63" s="43">
        <v>38.350937000000002</v>
      </c>
      <c r="M63" s="43">
        <v>38.524985999999998</v>
      </c>
      <c r="N63" s="43">
        <v>38.765780999999997</v>
      </c>
      <c r="O63" s="43">
        <v>39.034615000000002</v>
      </c>
      <c r="P63" s="43">
        <v>39.327393000000001</v>
      </c>
      <c r="Q63" s="43">
        <v>39.617125999999999</v>
      </c>
      <c r="R63" s="43">
        <v>39.891151000000001</v>
      </c>
      <c r="S63" s="43">
        <v>40.137245</v>
      </c>
      <c r="T63" s="43">
        <v>40.386982000000003</v>
      </c>
      <c r="U63" s="43">
        <v>40.585754000000001</v>
      </c>
      <c r="V63" s="43">
        <v>40.783423999999997</v>
      </c>
      <c r="W63" s="43">
        <v>40.980049000000001</v>
      </c>
      <c r="X63" s="43">
        <v>41.129356000000001</v>
      </c>
      <c r="Y63" s="43">
        <v>41.215099000000002</v>
      </c>
      <c r="Z63" s="43">
        <v>41.324547000000003</v>
      </c>
      <c r="AA63" s="43">
        <v>41.409976999999998</v>
      </c>
      <c r="AB63" s="43">
        <v>41.487541</v>
      </c>
      <c r="AC63" s="43">
        <v>41.584259000000003</v>
      </c>
      <c r="AD63" s="43">
        <v>41.638939000000001</v>
      </c>
      <c r="AE63" s="43">
        <v>41.749912000000002</v>
      </c>
      <c r="AF63" s="43">
        <v>41.845047000000001</v>
      </c>
      <c r="AG63" s="43">
        <v>41.929195</v>
      </c>
      <c r="AH63" s="43">
        <v>42.003109000000002</v>
      </c>
      <c r="AI63" s="35">
        <v>1.2716E-2</v>
      </c>
      <c r="AJ63" s="36"/>
      <c r="AK63" s="37"/>
    </row>
    <row r="64" spans="1:37" ht="15" customHeight="1" x14ac:dyDescent="0.35">
      <c r="A64" s="29" t="s">
        <v>632</v>
      </c>
      <c r="B64" s="33" t="s">
        <v>548</v>
      </c>
      <c r="C64" s="43">
        <v>42.920611999999998</v>
      </c>
      <c r="D64" s="43">
        <v>45.786242999999999</v>
      </c>
      <c r="E64" s="43">
        <v>48.134231999999997</v>
      </c>
      <c r="F64" s="43">
        <v>50.866604000000002</v>
      </c>
      <c r="G64" s="43">
        <v>52.457653000000001</v>
      </c>
      <c r="H64" s="43">
        <v>54.972729000000001</v>
      </c>
      <c r="I64" s="43">
        <v>60.223689999999998</v>
      </c>
      <c r="J64" s="43">
        <v>62.37529</v>
      </c>
      <c r="K64" s="43">
        <v>63.044696999999999</v>
      </c>
      <c r="L64" s="43">
        <v>63.156238999999999</v>
      </c>
      <c r="M64" s="43">
        <v>63.306491999999999</v>
      </c>
      <c r="N64" s="43">
        <v>63.688060999999998</v>
      </c>
      <c r="O64" s="43">
        <v>64.033287000000001</v>
      </c>
      <c r="P64" s="43">
        <v>64.444121999999993</v>
      </c>
      <c r="Q64" s="43">
        <v>64.878219999999999</v>
      </c>
      <c r="R64" s="43">
        <v>65.277450999999999</v>
      </c>
      <c r="S64" s="43">
        <v>65.638367000000002</v>
      </c>
      <c r="T64" s="43">
        <v>65.977829</v>
      </c>
      <c r="U64" s="43">
        <v>66.217162999999999</v>
      </c>
      <c r="V64" s="43">
        <v>66.471878000000004</v>
      </c>
      <c r="W64" s="43">
        <v>66.716758999999996</v>
      </c>
      <c r="X64" s="43">
        <v>66.876137</v>
      </c>
      <c r="Y64" s="43">
        <v>66.921593000000001</v>
      </c>
      <c r="Z64" s="43">
        <v>66.997681</v>
      </c>
      <c r="AA64" s="43">
        <v>67.029205000000005</v>
      </c>
      <c r="AB64" s="43">
        <v>67.047577000000004</v>
      </c>
      <c r="AC64" s="43">
        <v>67.099815000000007</v>
      </c>
      <c r="AD64" s="43">
        <v>67.089721999999995</v>
      </c>
      <c r="AE64" s="43">
        <v>67.171074000000004</v>
      </c>
      <c r="AF64" s="43">
        <v>67.221160999999995</v>
      </c>
      <c r="AG64" s="43">
        <v>67.253883000000002</v>
      </c>
      <c r="AH64" s="43">
        <v>67.260323</v>
      </c>
      <c r="AI64" s="35">
        <v>1.4596E-2</v>
      </c>
      <c r="AJ64" s="36"/>
      <c r="AK64" s="37"/>
    </row>
    <row r="65" spans="1:37" ht="15" customHeight="1" x14ac:dyDescent="0.35">
      <c r="A65" s="29" t="s">
        <v>633</v>
      </c>
      <c r="B65" s="33" t="s">
        <v>549</v>
      </c>
      <c r="C65" s="43">
        <v>34.479236999999998</v>
      </c>
      <c r="D65" s="43">
        <v>36.802970999999999</v>
      </c>
      <c r="E65" s="43">
        <v>39.783721999999997</v>
      </c>
      <c r="F65" s="43">
        <v>42.052951999999998</v>
      </c>
      <c r="G65" s="43">
        <v>43.778323999999998</v>
      </c>
      <c r="H65" s="43">
        <v>45.724293000000003</v>
      </c>
      <c r="I65" s="43">
        <v>48.170464000000003</v>
      </c>
      <c r="J65" s="43">
        <v>48.890362000000003</v>
      </c>
      <c r="K65" s="43">
        <v>49.047767999999998</v>
      </c>
      <c r="L65" s="43">
        <v>49.205298999999997</v>
      </c>
      <c r="M65" s="43">
        <v>49.412632000000002</v>
      </c>
      <c r="N65" s="43">
        <v>49.740527999999998</v>
      </c>
      <c r="O65" s="43">
        <v>50.078144000000002</v>
      </c>
      <c r="P65" s="43">
        <v>50.432338999999999</v>
      </c>
      <c r="Q65" s="43">
        <v>50.795077999999997</v>
      </c>
      <c r="R65" s="43">
        <v>51.137363000000001</v>
      </c>
      <c r="S65" s="43">
        <v>51.459086999999997</v>
      </c>
      <c r="T65" s="43">
        <v>51.762988999999997</v>
      </c>
      <c r="U65" s="43">
        <v>52.010395000000003</v>
      </c>
      <c r="V65" s="43">
        <v>52.269973999999998</v>
      </c>
      <c r="W65" s="43">
        <v>52.532341000000002</v>
      </c>
      <c r="X65" s="43">
        <v>52.734985000000002</v>
      </c>
      <c r="Y65" s="43">
        <v>52.845722000000002</v>
      </c>
      <c r="Z65" s="43">
        <v>52.980533999999999</v>
      </c>
      <c r="AA65" s="43">
        <v>53.089191</v>
      </c>
      <c r="AB65" s="43">
        <v>53.189289000000002</v>
      </c>
      <c r="AC65" s="43">
        <v>53.313744</v>
      </c>
      <c r="AD65" s="43">
        <v>53.393569999999997</v>
      </c>
      <c r="AE65" s="43">
        <v>53.537391999999997</v>
      </c>
      <c r="AF65" s="43">
        <v>53.667422999999999</v>
      </c>
      <c r="AG65" s="43">
        <v>53.784911999999998</v>
      </c>
      <c r="AH65" s="43">
        <v>53.892712000000003</v>
      </c>
      <c r="AI65" s="35">
        <v>1.4512000000000001E-2</v>
      </c>
      <c r="AJ65" s="36"/>
      <c r="AK65" s="37"/>
    </row>
    <row r="66" spans="1:37" ht="15" customHeight="1" x14ac:dyDescent="0.35">
      <c r="A66" s="25"/>
      <c r="B66" s="32" t="s">
        <v>480</v>
      </c>
      <c r="C66" s="25"/>
      <c r="D66" s="25"/>
      <c r="E66" s="25"/>
      <c r="F66" s="25"/>
      <c r="G66" s="25"/>
      <c r="H66" s="25"/>
      <c r="I66" s="25"/>
      <c r="J66" s="25"/>
      <c r="K66" s="25"/>
      <c r="L66" s="25"/>
      <c r="M66" s="25"/>
      <c r="N66" s="25"/>
      <c r="O66" s="25"/>
      <c r="P66" s="25"/>
      <c r="Q66" s="25"/>
      <c r="R66" s="25"/>
      <c r="S66" s="25"/>
      <c r="T66" s="25"/>
      <c r="U66" s="25"/>
      <c r="V66" s="25"/>
      <c r="W66" s="25"/>
      <c r="X66" s="25"/>
      <c r="Y66" s="25"/>
      <c r="Z66" s="25"/>
      <c r="AA66" s="25"/>
      <c r="AB66" s="25"/>
      <c r="AC66" s="25"/>
      <c r="AD66" s="25"/>
      <c r="AE66" s="25"/>
      <c r="AF66" s="25"/>
      <c r="AG66" s="25"/>
      <c r="AH66" s="25"/>
      <c r="AI66" s="25"/>
    </row>
    <row r="67" spans="1:37" ht="15" customHeight="1" x14ac:dyDescent="0.35">
      <c r="A67" s="25"/>
      <c r="B67" s="32" t="s">
        <v>479</v>
      </c>
      <c r="C67" s="25"/>
      <c r="D67" s="25"/>
      <c r="E67" s="25"/>
      <c r="F67" s="25"/>
      <c r="G67" s="25"/>
      <c r="H67" s="25"/>
      <c r="I67" s="25"/>
      <c r="J67" s="25"/>
      <c r="K67" s="25"/>
      <c r="L67" s="25"/>
      <c r="M67" s="25"/>
      <c r="N67" s="25"/>
      <c r="O67" s="25"/>
      <c r="P67" s="25"/>
      <c r="Q67" s="25"/>
      <c r="R67" s="25"/>
      <c r="S67" s="25"/>
      <c r="T67" s="25"/>
      <c r="U67" s="25"/>
      <c r="V67" s="25"/>
      <c r="W67" s="25"/>
      <c r="X67" s="25"/>
      <c r="Y67" s="25"/>
      <c r="Z67" s="25"/>
      <c r="AA67" s="25"/>
      <c r="AB67" s="25"/>
      <c r="AC67" s="25"/>
      <c r="AD67" s="25"/>
      <c r="AE67" s="25"/>
      <c r="AF67" s="25"/>
      <c r="AG67" s="25"/>
      <c r="AH67" s="25"/>
      <c r="AI67" s="25"/>
    </row>
    <row r="68" spans="1:37" ht="15" customHeight="1" x14ac:dyDescent="0.35">
      <c r="A68" s="29" t="s">
        <v>478</v>
      </c>
      <c r="B68" s="33" t="s">
        <v>474</v>
      </c>
      <c r="C68" s="43">
        <v>41.748745</v>
      </c>
      <c r="D68" s="43">
        <v>42.197056000000003</v>
      </c>
      <c r="E68" s="43">
        <v>43.741497000000003</v>
      </c>
      <c r="F68" s="43">
        <v>45.642307000000002</v>
      </c>
      <c r="G68" s="43">
        <v>47.397640000000003</v>
      </c>
      <c r="H68" s="43">
        <v>48.660823999999998</v>
      </c>
      <c r="I68" s="43">
        <v>51.580230999999998</v>
      </c>
      <c r="J68" s="43">
        <v>51.691806999999997</v>
      </c>
      <c r="K68" s="43">
        <v>51.738453</v>
      </c>
      <c r="L68" s="43">
        <v>51.784058000000002</v>
      </c>
      <c r="M68" s="43">
        <v>51.854343</v>
      </c>
      <c r="N68" s="43">
        <v>51.981087000000002</v>
      </c>
      <c r="O68" s="43">
        <v>52.089142000000002</v>
      </c>
      <c r="P68" s="43">
        <v>52.158698999999999</v>
      </c>
      <c r="Q68" s="43">
        <v>52.223025999999997</v>
      </c>
      <c r="R68" s="43">
        <v>52.258682</v>
      </c>
      <c r="S68" s="43">
        <v>52.267639000000003</v>
      </c>
      <c r="T68" s="43">
        <v>52.262058000000003</v>
      </c>
      <c r="U68" s="43">
        <v>52.217013999999999</v>
      </c>
      <c r="V68" s="43">
        <v>52.169598000000001</v>
      </c>
      <c r="W68" s="43">
        <v>52.113255000000002</v>
      </c>
      <c r="X68" s="43">
        <v>52.039135000000002</v>
      </c>
      <c r="Y68" s="43">
        <v>51.969588999999999</v>
      </c>
      <c r="Z68" s="43">
        <v>51.906796</v>
      </c>
      <c r="AA68" s="43">
        <v>51.831584999999997</v>
      </c>
      <c r="AB68" s="43">
        <v>51.753928999999999</v>
      </c>
      <c r="AC68" s="43">
        <v>51.676482999999998</v>
      </c>
      <c r="AD68" s="43">
        <v>51.587524000000002</v>
      </c>
      <c r="AE68" s="43">
        <v>51.513953999999998</v>
      </c>
      <c r="AF68" s="43">
        <v>51.428973999999997</v>
      </c>
      <c r="AG68" s="43">
        <v>51.343597000000003</v>
      </c>
      <c r="AH68" s="43">
        <v>51.255961999999997</v>
      </c>
      <c r="AI68" s="35">
        <v>6.6400000000000001E-3</v>
      </c>
      <c r="AJ68" s="36"/>
      <c r="AK68" s="37"/>
    </row>
    <row r="69" spans="1:37" ht="15" customHeight="1" x14ac:dyDescent="0.35">
      <c r="A69" s="29" t="s">
        <v>477</v>
      </c>
      <c r="B69" s="33" t="s">
        <v>472</v>
      </c>
      <c r="C69" s="43">
        <v>29.297989000000001</v>
      </c>
      <c r="D69" s="43">
        <v>30.110862999999998</v>
      </c>
      <c r="E69" s="43">
        <v>31.341013</v>
      </c>
      <c r="F69" s="43">
        <v>33.007289999999998</v>
      </c>
      <c r="G69" s="43">
        <v>34.366183999999997</v>
      </c>
      <c r="H69" s="43">
        <v>36.224663</v>
      </c>
      <c r="I69" s="43">
        <v>37.777400999999998</v>
      </c>
      <c r="J69" s="43">
        <v>37.943953999999998</v>
      </c>
      <c r="K69" s="43">
        <v>38.012954999999998</v>
      </c>
      <c r="L69" s="43">
        <v>38.089500000000001</v>
      </c>
      <c r="M69" s="43">
        <v>38.181660000000001</v>
      </c>
      <c r="N69" s="43">
        <v>38.292197999999999</v>
      </c>
      <c r="O69" s="43">
        <v>38.390953000000003</v>
      </c>
      <c r="P69" s="43">
        <v>38.491154000000002</v>
      </c>
      <c r="Q69" s="43">
        <v>38.575012000000001</v>
      </c>
      <c r="R69" s="43">
        <v>38.628216000000002</v>
      </c>
      <c r="S69" s="43">
        <v>38.658611000000001</v>
      </c>
      <c r="T69" s="43">
        <v>38.668705000000003</v>
      </c>
      <c r="U69" s="43">
        <v>38.667006999999998</v>
      </c>
      <c r="V69" s="43">
        <v>38.664852000000003</v>
      </c>
      <c r="W69" s="43">
        <v>38.657173</v>
      </c>
      <c r="X69" s="43">
        <v>38.636833000000003</v>
      </c>
      <c r="Y69" s="43">
        <v>38.615676999999998</v>
      </c>
      <c r="Z69" s="43">
        <v>38.594948000000002</v>
      </c>
      <c r="AA69" s="43">
        <v>38.564990999999999</v>
      </c>
      <c r="AB69" s="43">
        <v>38.532677</v>
      </c>
      <c r="AC69" s="43">
        <v>38.500557000000001</v>
      </c>
      <c r="AD69" s="43">
        <v>38.459412</v>
      </c>
      <c r="AE69" s="43">
        <v>38.426777000000001</v>
      </c>
      <c r="AF69" s="43">
        <v>38.388877999999998</v>
      </c>
      <c r="AG69" s="43">
        <v>38.348495</v>
      </c>
      <c r="AH69" s="43">
        <v>38.306694</v>
      </c>
      <c r="AI69" s="35">
        <v>8.6859999999999993E-3</v>
      </c>
      <c r="AJ69" s="36"/>
      <c r="AK69" s="37"/>
    </row>
    <row r="70" spans="1:37" ht="15" customHeight="1" x14ac:dyDescent="0.35">
      <c r="A70" s="19"/>
    </row>
    <row r="71" spans="1:37" ht="15" customHeight="1" x14ac:dyDescent="0.35">
      <c r="A71" s="25"/>
      <c r="B71" s="32" t="s">
        <v>476</v>
      </c>
      <c r="C71" s="25"/>
      <c r="D71" s="25"/>
      <c r="E71" s="25"/>
      <c r="F71" s="25"/>
      <c r="G71" s="25"/>
      <c r="H71" s="25"/>
      <c r="I71" s="25"/>
      <c r="J71" s="25"/>
      <c r="K71" s="25"/>
      <c r="L71" s="25"/>
      <c r="M71" s="25"/>
      <c r="N71" s="25"/>
      <c r="O71" s="25"/>
      <c r="P71" s="25"/>
      <c r="Q71" s="25"/>
      <c r="R71" s="25"/>
      <c r="S71" s="25"/>
      <c r="T71" s="25"/>
      <c r="U71" s="25"/>
      <c r="V71" s="25"/>
      <c r="W71" s="25"/>
      <c r="X71" s="25"/>
      <c r="Y71" s="25"/>
      <c r="Z71" s="25"/>
      <c r="AA71" s="25"/>
      <c r="AB71" s="25"/>
      <c r="AC71" s="25"/>
      <c r="AD71" s="25"/>
      <c r="AE71" s="25"/>
      <c r="AF71" s="25"/>
      <c r="AG71" s="25"/>
      <c r="AH71" s="25"/>
      <c r="AI71" s="25"/>
    </row>
    <row r="72" spans="1:37" ht="15" customHeight="1" x14ac:dyDescent="0.35">
      <c r="A72" s="29" t="s">
        <v>475</v>
      </c>
      <c r="B72" s="33" t="s">
        <v>474</v>
      </c>
      <c r="C72" s="43">
        <v>31.656063</v>
      </c>
      <c r="D72" s="43">
        <v>32.260525000000001</v>
      </c>
      <c r="E72" s="43">
        <v>33.078423000000001</v>
      </c>
      <c r="F72" s="43">
        <v>34.158847999999999</v>
      </c>
      <c r="G72" s="43">
        <v>35.668762000000001</v>
      </c>
      <c r="H72" s="43">
        <v>36.952148000000001</v>
      </c>
      <c r="I72" s="43">
        <v>38.497813999999998</v>
      </c>
      <c r="J72" s="43">
        <v>39.687728999999997</v>
      </c>
      <c r="K72" s="43">
        <v>40.571609000000002</v>
      </c>
      <c r="L72" s="43">
        <v>41.252181999999998</v>
      </c>
      <c r="M72" s="43">
        <v>41.769427999999998</v>
      </c>
      <c r="N72" s="43">
        <v>42.172038999999998</v>
      </c>
      <c r="O72" s="43">
        <v>42.456997000000001</v>
      </c>
      <c r="P72" s="43">
        <v>42.594386999999998</v>
      </c>
      <c r="Q72" s="43">
        <v>42.712521000000002</v>
      </c>
      <c r="R72" s="43">
        <v>42.82</v>
      </c>
      <c r="S72" s="43">
        <v>42.917178999999997</v>
      </c>
      <c r="T72" s="43">
        <v>43.005642000000002</v>
      </c>
      <c r="U72" s="43">
        <v>43.069592</v>
      </c>
      <c r="V72" s="43">
        <v>43.110863000000002</v>
      </c>
      <c r="W72" s="43">
        <v>43.13937</v>
      </c>
      <c r="X72" s="43">
        <v>43.152203</v>
      </c>
      <c r="Y72" s="43">
        <v>43.153469000000001</v>
      </c>
      <c r="Z72" s="43">
        <v>43.140697000000003</v>
      </c>
      <c r="AA72" s="43">
        <v>43.116630999999998</v>
      </c>
      <c r="AB72" s="43">
        <v>43.082886000000002</v>
      </c>
      <c r="AC72" s="43">
        <v>43.041907999999999</v>
      </c>
      <c r="AD72" s="43">
        <v>42.992064999999997</v>
      </c>
      <c r="AE72" s="43">
        <v>42.939720000000001</v>
      </c>
      <c r="AF72" s="43">
        <v>42.881225999999998</v>
      </c>
      <c r="AG72" s="43">
        <v>42.818283000000001</v>
      </c>
      <c r="AH72" s="43">
        <v>42.751998999999998</v>
      </c>
      <c r="AI72" s="35">
        <v>9.7400000000000004E-3</v>
      </c>
      <c r="AJ72" s="36"/>
      <c r="AK72" s="37"/>
    </row>
    <row r="73" spans="1:37" ht="15" customHeight="1" x14ac:dyDescent="0.35">
      <c r="A73" s="29" t="s">
        <v>473</v>
      </c>
      <c r="B73" s="33" t="s">
        <v>472</v>
      </c>
      <c r="C73" s="43">
        <v>22.140131</v>
      </c>
      <c r="D73" s="43">
        <v>22.744184000000001</v>
      </c>
      <c r="E73" s="43">
        <v>23.423190999999999</v>
      </c>
      <c r="F73" s="43">
        <v>24.403147000000001</v>
      </c>
      <c r="G73" s="43">
        <v>25.431294999999999</v>
      </c>
      <c r="H73" s="43">
        <v>26.615532000000002</v>
      </c>
      <c r="I73" s="43">
        <v>27.775525999999999</v>
      </c>
      <c r="J73" s="43">
        <v>28.706582999999998</v>
      </c>
      <c r="K73" s="43">
        <v>29.414648</v>
      </c>
      <c r="L73" s="43">
        <v>29.928633000000001</v>
      </c>
      <c r="M73" s="43">
        <v>30.309282</v>
      </c>
      <c r="N73" s="43">
        <v>30.527763</v>
      </c>
      <c r="O73" s="43">
        <v>30.617929</v>
      </c>
      <c r="P73" s="43">
        <v>30.690905000000001</v>
      </c>
      <c r="Q73" s="43">
        <v>30.761088999999998</v>
      </c>
      <c r="R73" s="43">
        <v>30.823506999999999</v>
      </c>
      <c r="S73" s="43">
        <v>30.879303</v>
      </c>
      <c r="T73" s="43">
        <v>30.925709000000001</v>
      </c>
      <c r="U73" s="43">
        <v>30.961480999999999</v>
      </c>
      <c r="V73" s="43">
        <v>30.987922999999999</v>
      </c>
      <c r="W73" s="43">
        <v>31.007618000000001</v>
      </c>
      <c r="X73" s="43">
        <v>31.019964000000002</v>
      </c>
      <c r="Y73" s="43">
        <v>31.027342000000001</v>
      </c>
      <c r="Z73" s="43">
        <v>31.030846</v>
      </c>
      <c r="AA73" s="43">
        <v>31.030767000000001</v>
      </c>
      <c r="AB73" s="43">
        <v>31.027325000000001</v>
      </c>
      <c r="AC73" s="43">
        <v>31.020942999999999</v>
      </c>
      <c r="AD73" s="43">
        <v>31.010169999999999</v>
      </c>
      <c r="AE73" s="43">
        <v>30.997302999999999</v>
      </c>
      <c r="AF73" s="43">
        <v>30.981186000000001</v>
      </c>
      <c r="AG73" s="43">
        <v>30.962026999999999</v>
      </c>
      <c r="AH73" s="43">
        <v>30.940194999999999</v>
      </c>
      <c r="AI73" s="35">
        <v>1.0854000000000001E-2</v>
      </c>
      <c r="AJ73" s="36"/>
      <c r="AK73" s="37"/>
    </row>
    <row r="74" spans="1:37" ht="15" customHeight="1" x14ac:dyDescent="0.35">
      <c r="A74" s="19"/>
    </row>
    <row r="75" spans="1:37" ht="15" customHeight="1" x14ac:dyDescent="0.35">
      <c r="A75" s="25"/>
      <c r="B75" s="32" t="s">
        <v>471</v>
      </c>
      <c r="C75" s="25"/>
      <c r="D75" s="25"/>
      <c r="E75" s="25"/>
      <c r="F75" s="25"/>
      <c r="G75" s="25"/>
      <c r="H75" s="25"/>
      <c r="I75" s="25"/>
      <c r="J75" s="25"/>
      <c r="K75" s="25"/>
      <c r="L75" s="25"/>
      <c r="M75" s="25"/>
      <c r="N75" s="25"/>
      <c r="O75" s="25"/>
      <c r="P75" s="25"/>
      <c r="Q75" s="25"/>
      <c r="R75" s="25"/>
      <c r="S75" s="25"/>
      <c r="T75" s="25"/>
      <c r="U75" s="25"/>
      <c r="V75" s="25"/>
      <c r="W75" s="25"/>
      <c r="X75" s="25"/>
      <c r="Y75" s="25"/>
      <c r="Z75" s="25"/>
      <c r="AA75" s="25"/>
      <c r="AB75" s="25"/>
      <c r="AC75" s="25"/>
      <c r="AD75" s="25"/>
      <c r="AE75" s="25"/>
      <c r="AF75" s="25"/>
      <c r="AG75" s="25"/>
      <c r="AH75" s="25"/>
      <c r="AI75" s="25"/>
    </row>
    <row r="76" spans="1:37" ht="15" customHeight="1" x14ac:dyDescent="0.35">
      <c r="A76" s="25"/>
      <c r="B76" s="32" t="s">
        <v>550</v>
      </c>
      <c r="C76" s="25"/>
      <c r="D76" s="25"/>
      <c r="E76" s="25"/>
      <c r="F76" s="25"/>
      <c r="G76" s="25"/>
      <c r="H76" s="25"/>
      <c r="I76" s="25"/>
      <c r="J76" s="25"/>
      <c r="K76" s="25"/>
      <c r="L76" s="25"/>
      <c r="M76" s="25"/>
      <c r="N76" s="25"/>
      <c r="O76" s="25"/>
      <c r="P76" s="25"/>
      <c r="Q76" s="25"/>
      <c r="R76" s="25"/>
      <c r="S76" s="25"/>
      <c r="T76" s="25"/>
      <c r="U76" s="25"/>
      <c r="V76" s="25"/>
      <c r="W76" s="25"/>
      <c r="X76" s="25"/>
      <c r="Y76" s="25"/>
      <c r="Z76" s="25"/>
      <c r="AA76" s="25"/>
      <c r="AB76" s="25"/>
      <c r="AC76" s="25"/>
      <c r="AD76" s="25"/>
      <c r="AE76" s="25"/>
      <c r="AF76" s="25"/>
      <c r="AG76" s="25"/>
      <c r="AH76" s="25"/>
      <c r="AI76" s="25"/>
    </row>
    <row r="77" spans="1:37" ht="15" customHeight="1" x14ac:dyDescent="0.35">
      <c r="A77" s="29" t="s">
        <v>470</v>
      </c>
      <c r="B77" s="33" t="s">
        <v>441</v>
      </c>
      <c r="C77" s="43">
        <v>0.42189599999999999</v>
      </c>
      <c r="D77" s="43">
        <v>0.45046399999999998</v>
      </c>
      <c r="E77" s="43">
        <v>0.461476</v>
      </c>
      <c r="F77" s="43">
        <v>0.46820000000000001</v>
      </c>
      <c r="G77" s="43">
        <v>0.47221299999999999</v>
      </c>
      <c r="H77" s="43">
        <v>0.47637400000000002</v>
      </c>
      <c r="I77" s="43">
        <v>0.48658499999999999</v>
      </c>
      <c r="J77" s="43">
        <v>0.486985</v>
      </c>
      <c r="K77" s="43">
        <v>0.489736</v>
      </c>
      <c r="L77" s="43">
        <v>0.49090600000000001</v>
      </c>
      <c r="M77" s="43">
        <v>0.49444500000000002</v>
      </c>
      <c r="N77" s="43">
        <v>0.50604099999999996</v>
      </c>
      <c r="O77" s="43">
        <v>0.49839</v>
      </c>
      <c r="P77" s="43">
        <v>0.50017400000000001</v>
      </c>
      <c r="Q77" s="43">
        <v>0.504471</v>
      </c>
      <c r="R77" s="43">
        <v>0.50395400000000001</v>
      </c>
      <c r="S77" s="43">
        <v>0.50378199999999995</v>
      </c>
      <c r="T77" s="43">
        <v>0.50528499999999998</v>
      </c>
      <c r="U77" s="43">
        <v>0.50430900000000001</v>
      </c>
      <c r="V77" s="43">
        <v>0.50736099999999995</v>
      </c>
      <c r="W77" s="43">
        <v>0.50861599999999996</v>
      </c>
      <c r="X77" s="43">
        <v>0.50751599999999997</v>
      </c>
      <c r="Y77" s="43">
        <v>0.50927999999999995</v>
      </c>
      <c r="Z77" s="43">
        <v>0.51212400000000002</v>
      </c>
      <c r="AA77" s="43">
        <v>0.51123600000000002</v>
      </c>
      <c r="AB77" s="43">
        <v>0.51194600000000001</v>
      </c>
      <c r="AC77" s="43">
        <v>0.51372300000000004</v>
      </c>
      <c r="AD77" s="43">
        <v>0.51249999999999996</v>
      </c>
      <c r="AE77" s="43">
        <v>0.51629599999999998</v>
      </c>
      <c r="AF77" s="43">
        <v>0.51583699999999999</v>
      </c>
      <c r="AG77" s="43">
        <v>0.51582700000000004</v>
      </c>
      <c r="AH77" s="43">
        <v>0.51607800000000004</v>
      </c>
      <c r="AI77" s="35">
        <v>6.5209999999999999E-3</v>
      </c>
      <c r="AJ77" s="36"/>
      <c r="AK77" s="37"/>
    </row>
    <row r="78" spans="1:37" ht="15" customHeight="1" x14ac:dyDescent="0.35">
      <c r="A78" s="29" t="s">
        <v>469</v>
      </c>
      <c r="B78" s="33" t="s">
        <v>439</v>
      </c>
      <c r="C78" s="43">
        <v>4.5220320000000003</v>
      </c>
      <c r="D78" s="43">
        <v>4.5735450000000002</v>
      </c>
      <c r="E78" s="43">
        <v>4.5620079999999996</v>
      </c>
      <c r="F78" s="43">
        <v>4.5971869999999999</v>
      </c>
      <c r="G78" s="43">
        <v>4.6078520000000003</v>
      </c>
      <c r="H78" s="43">
        <v>4.4991789999999998</v>
      </c>
      <c r="I78" s="43">
        <v>4.6238599999999996</v>
      </c>
      <c r="J78" s="43">
        <v>4.5186869999999999</v>
      </c>
      <c r="K78" s="43">
        <v>4.5195030000000003</v>
      </c>
      <c r="L78" s="43">
        <v>4.4955239999999996</v>
      </c>
      <c r="M78" s="43">
        <v>4.5066519999999999</v>
      </c>
      <c r="N78" s="43">
        <v>4.5508420000000003</v>
      </c>
      <c r="O78" s="43">
        <v>4.4811920000000001</v>
      </c>
      <c r="P78" s="43">
        <v>4.4804240000000002</v>
      </c>
      <c r="Q78" s="43">
        <v>4.4975690000000004</v>
      </c>
      <c r="R78" s="43">
        <v>4.4804110000000001</v>
      </c>
      <c r="S78" s="43">
        <v>4.4603539999999997</v>
      </c>
      <c r="T78" s="43">
        <v>4.4598209999999998</v>
      </c>
      <c r="U78" s="43">
        <v>4.4333999999999998</v>
      </c>
      <c r="V78" s="43">
        <v>4.4496960000000003</v>
      </c>
      <c r="W78" s="43">
        <v>4.4498340000000001</v>
      </c>
      <c r="X78" s="43">
        <v>4.4242549999999996</v>
      </c>
      <c r="Y78" s="43">
        <v>4.4292199999999999</v>
      </c>
      <c r="Z78" s="43">
        <v>4.4457129999999996</v>
      </c>
      <c r="AA78" s="43">
        <v>4.4252120000000001</v>
      </c>
      <c r="AB78" s="43">
        <v>4.4214039999999999</v>
      </c>
      <c r="AC78" s="43">
        <v>4.4301490000000001</v>
      </c>
      <c r="AD78" s="43">
        <v>4.4039390000000003</v>
      </c>
      <c r="AE78" s="43">
        <v>4.4365069999999998</v>
      </c>
      <c r="AF78" s="43">
        <v>4.4213909999999998</v>
      </c>
      <c r="AG78" s="43">
        <v>4.4119089999999996</v>
      </c>
      <c r="AH78" s="43">
        <v>4.4044249999999998</v>
      </c>
      <c r="AI78" s="35">
        <v>-8.4999999999999995E-4</v>
      </c>
      <c r="AJ78" s="36"/>
      <c r="AK78" s="37"/>
    </row>
    <row r="79" spans="1:37" ht="15" customHeight="1" x14ac:dyDescent="0.35">
      <c r="A79" s="29" t="s">
        <v>468</v>
      </c>
      <c r="B79" s="33" t="s">
        <v>437</v>
      </c>
      <c r="C79" s="43">
        <v>14.593612</v>
      </c>
      <c r="D79" s="43">
        <v>14.720454999999999</v>
      </c>
      <c r="E79" s="43">
        <v>14.653378</v>
      </c>
      <c r="F79" s="43">
        <v>14.548759</v>
      </c>
      <c r="G79" s="43">
        <v>14.458205</v>
      </c>
      <c r="H79" s="43">
        <v>14.353745</v>
      </c>
      <c r="I79" s="43">
        <v>14.4741</v>
      </c>
      <c r="J79" s="43">
        <v>14.369308</v>
      </c>
      <c r="K79" s="43">
        <v>14.351089999999999</v>
      </c>
      <c r="L79" s="43">
        <v>14.277136</v>
      </c>
      <c r="M79" s="43">
        <v>14.289742</v>
      </c>
      <c r="N79" s="43">
        <v>14.407166</v>
      </c>
      <c r="O79" s="43">
        <v>14.203670000000001</v>
      </c>
      <c r="P79" s="43">
        <v>14.188316</v>
      </c>
      <c r="Q79" s="43">
        <v>14.22113</v>
      </c>
      <c r="R79" s="43">
        <v>14.175269999999999</v>
      </c>
      <c r="S79" s="43">
        <v>14.117388999999999</v>
      </c>
      <c r="T79" s="43">
        <v>14.10539</v>
      </c>
      <c r="U79" s="43">
        <v>14.030537000000001</v>
      </c>
      <c r="V79" s="43">
        <v>14.061178</v>
      </c>
      <c r="W79" s="43">
        <v>14.052524</v>
      </c>
      <c r="X79" s="43">
        <v>13.982597999999999</v>
      </c>
      <c r="Y79" s="43">
        <v>13.985798000000001</v>
      </c>
      <c r="Z79" s="43">
        <v>14.018862</v>
      </c>
      <c r="AA79" s="43">
        <v>13.961834</v>
      </c>
      <c r="AB79" s="43">
        <v>13.944964000000001</v>
      </c>
      <c r="AC79" s="43">
        <v>13.959742</v>
      </c>
      <c r="AD79" s="43">
        <v>13.891313999999999</v>
      </c>
      <c r="AE79" s="43">
        <v>13.96148</v>
      </c>
      <c r="AF79" s="43">
        <v>13.918029000000001</v>
      </c>
      <c r="AG79" s="43">
        <v>13.888484</v>
      </c>
      <c r="AH79" s="43">
        <v>13.86565</v>
      </c>
      <c r="AI79" s="35">
        <v>-1.6490000000000001E-3</v>
      </c>
      <c r="AJ79" s="36"/>
      <c r="AK79" s="37"/>
    </row>
    <row r="80" spans="1:37" ht="15" customHeight="1" x14ac:dyDescent="0.35">
      <c r="A80" s="29" t="s">
        <v>467</v>
      </c>
      <c r="B80" s="33" t="s">
        <v>435</v>
      </c>
      <c r="C80" s="43">
        <v>38.814579000000002</v>
      </c>
      <c r="D80" s="43">
        <v>36.790703000000001</v>
      </c>
      <c r="E80" s="43">
        <v>36.157631000000002</v>
      </c>
      <c r="F80" s="43">
        <v>35.740734000000003</v>
      </c>
      <c r="G80" s="43">
        <v>35.605258999999997</v>
      </c>
      <c r="H80" s="43">
        <v>35.601607999999999</v>
      </c>
      <c r="I80" s="43">
        <v>34.771197999999998</v>
      </c>
      <c r="J80" s="43">
        <v>34.908123000000003</v>
      </c>
      <c r="K80" s="43">
        <v>34.730587</v>
      </c>
      <c r="L80" s="43">
        <v>34.695694000000003</v>
      </c>
      <c r="M80" s="43">
        <v>34.490105</v>
      </c>
      <c r="N80" s="43">
        <v>34.104323999999998</v>
      </c>
      <c r="O80" s="43">
        <v>34.376410999999997</v>
      </c>
      <c r="P80" s="43">
        <v>34.267215999999998</v>
      </c>
      <c r="Q80" s="43">
        <v>34.070843000000004</v>
      </c>
      <c r="R80" s="43">
        <v>34.002322999999997</v>
      </c>
      <c r="S80" s="43">
        <v>34.005501000000002</v>
      </c>
      <c r="T80" s="43">
        <v>33.920634999999997</v>
      </c>
      <c r="U80" s="43">
        <v>33.980182999999997</v>
      </c>
      <c r="V80" s="43">
        <v>33.813960999999999</v>
      </c>
      <c r="W80" s="43">
        <v>33.735976999999998</v>
      </c>
      <c r="X80" s="43">
        <v>33.795940000000002</v>
      </c>
      <c r="Y80" s="43">
        <v>33.702339000000002</v>
      </c>
      <c r="Z80" s="43">
        <v>33.545349000000002</v>
      </c>
      <c r="AA80" s="43">
        <v>33.588104000000001</v>
      </c>
      <c r="AB80" s="43">
        <v>33.547089</v>
      </c>
      <c r="AC80" s="43">
        <v>33.438225000000003</v>
      </c>
      <c r="AD80" s="43">
        <v>33.516795999999999</v>
      </c>
      <c r="AE80" s="43">
        <v>33.30048</v>
      </c>
      <c r="AF80" s="43">
        <v>33.335937999999999</v>
      </c>
      <c r="AG80" s="43">
        <v>33.334591000000003</v>
      </c>
      <c r="AH80" s="43">
        <v>33.319206000000001</v>
      </c>
      <c r="AI80" s="35">
        <v>-4.9119999999999997E-3</v>
      </c>
      <c r="AJ80" s="36"/>
      <c r="AK80" s="37"/>
    </row>
    <row r="81" spans="1:37" ht="15" customHeight="1" x14ac:dyDescent="0.35">
      <c r="A81" s="29" t="s">
        <v>466</v>
      </c>
      <c r="B81" s="33" t="s">
        <v>433</v>
      </c>
      <c r="C81" s="43">
        <v>14.780246999999999</v>
      </c>
      <c r="D81" s="43">
        <v>13.754198000000001</v>
      </c>
      <c r="E81" s="43">
        <v>13.275525</v>
      </c>
      <c r="F81" s="43">
        <v>13.07835</v>
      </c>
      <c r="G81" s="43">
        <v>12.960122</v>
      </c>
      <c r="H81" s="43">
        <v>12.828448</v>
      </c>
      <c r="I81" s="43">
        <v>12.401965000000001</v>
      </c>
      <c r="J81" s="43">
        <v>12.416797000000001</v>
      </c>
      <c r="K81" s="43">
        <v>12.294007000000001</v>
      </c>
      <c r="L81" s="43">
        <v>12.255452999999999</v>
      </c>
      <c r="M81" s="43">
        <v>12.117990000000001</v>
      </c>
      <c r="N81" s="43">
        <v>11.879538</v>
      </c>
      <c r="O81" s="43">
        <v>12.01484</v>
      </c>
      <c r="P81" s="43">
        <v>11.938667000000001</v>
      </c>
      <c r="Q81" s="43">
        <v>11.811798</v>
      </c>
      <c r="R81" s="43">
        <v>11.787006999999999</v>
      </c>
      <c r="S81" s="43">
        <v>11.783389</v>
      </c>
      <c r="T81" s="43">
        <v>11.724318999999999</v>
      </c>
      <c r="U81" s="43">
        <v>11.747636999999999</v>
      </c>
      <c r="V81" s="43">
        <v>11.643086</v>
      </c>
      <c r="W81" s="43">
        <v>11.591467</v>
      </c>
      <c r="X81" s="43">
        <v>11.620789</v>
      </c>
      <c r="Y81" s="43">
        <v>11.558788</v>
      </c>
      <c r="Z81" s="43">
        <v>11.464002000000001</v>
      </c>
      <c r="AA81" s="43">
        <v>11.48366</v>
      </c>
      <c r="AB81" s="43">
        <v>11.454397999999999</v>
      </c>
      <c r="AC81" s="43">
        <v>11.389194</v>
      </c>
      <c r="AD81" s="43">
        <v>11.429582</v>
      </c>
      <c r="AE81" s="43">
        <v>11.301695</v>
      </c>
      <c r="AF81" s="43">
        <v>11.315531999999999</v>
      </c>
      <c r="AG81" s="43">
        <v>11.309448</v>
      </c>
      <c r="AH81" s="43">
        <v>11.297884</v>
      </c>
      <c r="AI81" s="35">
        <v>-8.6300000000000005E-3</v>
      </c>
      <c r="AJ81" s="36"/>
      <c r="AK81" s="37"/>
    </row>
    <row r="82" spans="1:37" ht="15" customHeight="1" x14ac:dyDescent="0.35">
      <c r="A82" s="29" t="s">
        <v>465</v>
      </c>
      <c r="B82" s="33" t="s">
        <v>431</v>
      </c>
      <c r="C82" s="43">
        <v>0.97134299999999996</v>
      </c>
      <c r="D82" s="43">
        <v>0.94567900000000005</v>
      </c>
      <c r="E82" s="43">
        <v>0.93995399999999996</v>
      </c>
      <c r="F82" s="43">
        <v>0.94154000000000004</v>
      </c>
      <c r="G82" s="43">
        <v>0.93577200000000005</v>
      </c>
      <c r="H82" s="43">
        <v>0.93525599999999998</v>
      </c>
      <c r="I82" s="43">
        <v>0.93962999999999997</v>
      </c>
      <c r="J82" s="43">
        <v>0.92757699999999998</v>
      </c>
      <c r="K82" s="43">
        <v>0.92549899999999996</v>
      </c>
      <c r="L82" s="43">
        <v>0.92526399999999998</v>
      </c>
      <c r="M82" s="43">
        <v>0.92313199999999995</v>
      </c>
      <c r="N82" s="43">
        <v>0.92000099999999996</v>
      </c>
      <c r="O82" s="43">
        <v>0.92361800000000005</v>
      </c>
      <c r="P82" s="43">
        <v>0.92211399999999999</v>
      </c>
      <c r="Q82" s="43">
        <v>0.91968700000000003</v>
      </c>
      <c r="R82" s="43">
        <v>0.91744300000000001</v>
      </c>
      <c r="S82" s="43">
        <v>0.91678499999999996</v>
      </c>
      <c r="T82" s="43">
        <v>0.91549499999999995</v>
      </c>
      <c r="U82" s="43">
        <v>0.91583800000000004</v>
      </c>
      <c r="V82" s="43">
        <v>0.91375499999999998</v>
      </c>
      <c r="W82" s="43">
        <v>0.91261700000000001</v>
      </c>
      <c r="X82" s="43">
        <v>0.913246</v>
      </c>
      <c r="Y82" s="43">
        <v>0.91195599999999999</v>
      </c>
      <c r="Z82" s="43">
        <v>0.91000899999999996</v>
      </c>
      <c r="AA82" s="43">
        <v>0.91037800000000002</v>
      </c>
      <c r="AB82" s="43">
        <v>0.90972799999999998</v>
      </c>
      <c r="AC82" s="43">
        <v>0.90834700000000002</v>
      </c>
      <c r="AD82" s="43">
        <v>0.90922899999999995</v>
      </c>
      <c r="AE82" s="43">
        <v>0.90664900000000004</v>
      </c>
      <c r="AF82" s="43">
        <v>0.90678499999999995</v>
      </c>
      <c r="AG82" s="43">
        <v>0.90659900000000004</v>
      </c>
      <c r="AH82" s="43">
        <v>0.90615900000000005</v>
      </c>
      <c r="AI82" s="35">
        <v>-2.238E-3</v>
      </c>
      <c r="AJ82" s="36"/>
      <c r="AK82" s="37"/>
    </row>
    <row r="83" spans="1:37" ht="15" customHeight="1" x14ac:dyDescent="0.35">
      <c r="A83" s="29" t="s">
        <v>634</v>
      </c>
      <c r="B83" s="33" t="s">
        <v>551</v>
      </c>
      <c r="C83" s="43">
        <v>21.314177999999998</v>
      </c>
      <c r="D83" s="43">
        <v>23.842644</v>
      </c>
      <c r="E83" s="43">
        <v>24.827641</v>
      </c>
      <c r="F83" s="43">
        <v>25.333970999999998</v>
      </c>
      <c r="G83" s="43">
        <v>25.587554999999998</v>
      </c>
      <c r="H83" s="43">
        <v>25.791640999999998</v>
      </c>
      <c r="I83" s="43">
        <v>26.687304000000001</v>
      </c>
      <c r="J83" s="43">
        <v>26.695404</v>
      </c>
      <c r="K83" s="43">
        <v>26.962492000000001</v>
      </c>
      <c r="L83" s="43">
        <v>27.067619000000001</v>
      </c>
      <c r="M83" s="43">
        <v>27.350351</v>
      </c>
      <c r="N83" s="43">
        <v>27.802261000000001</v>
      </c>
      <c r="O83" s="43">
        <v>27.576212000000002</v>
      </c>
      <c r="P83" s="43">
        <v>27.742683</v>
      </c>
      <c r="Q83" s="43">
        <v>27.995211000000001</v>
      </c>
      <c r="R83" s="43">
        <v>28.097539999999999</v>
      </c>
      <c r="S83" s="43">
        <v>28.128895</v>
      </c>
      <c r="T83" s="43">
        <v>28.257584000000001</v>
      </c>
      <c r="U83" s="43">
        <v>28.229153</v>
      </c>
      <c r="V83" s="43">
        <v>28.441351000000001</v>
      </c>
      <c r="W83" s="43">
        <v>28.556626999999999</v>
      </c>
      <c r="X83" s="43">
        <v>28.519258000000001</v>
      </c>
      <c r="Y83" s="43">
        <v>28.648779000000001</v>
      </c>
      <c r="Z83" s="43">
        <v>28.844097000000001</v>
      </c>
      <c r="AA83" s="43">
        <v>28.822247000000001</v>
      </c>
      <c r="AB83" s="43">
        <v>28.890737999999999</v>
      </c>
      <c r="AC83" s="43">
        <v>29.031044000000001</v>
      </c>
      <c r="AD83" s="43">
        <v>28.966145999999998</v>
      </c>
      <c r="AE83" s="43">
        <v>29.216007000000001</v>
      </c>
      <c r="AF83" s="43">
        <v>29.194852999999998</v>
      </c>
      <c r="AG83" s="43">
        <v>29.216476</v>
      </c>
      <c r="AH83" s="43">
        <v>29.250595000000001</v>
      </c>
      <c r="AI83" s="35">
        <v>1.0263E-2</v>
      </c>
      <c r="AJ83" s="36"/>
      <c r="AK83" s="37"/>
    </row>
    <row r="84" spans="1:37" ht="15" customHeight="1" x14ac:dyDescent="0.35">
      <c r="A84" s="29" t="s">
        <v>635</v>
      </c>
      <c r="B84" s="33" t="s">
        <v>552</v>
      </c>
      <c r="C84" s="43">
        <v>4.5820860000000003</v>
      </c>
      <c r="D84" s="43">
        <v>4.922301</v>
      </c>
      <c r="E84" s="43">
        <v>5.1223840000000003</v>
      </c>
      <c r="F84" s="43">
        <v>5.291245</v>
      </c>
      <c r="G84" s="43">
        <v>5.373024</v>
      </c>
      <c r="H84" s="43">
        <v>5.5137510000000001</v>
      </c>
      <c r="I84" s="43">
        <v>5.615386</v>
      </c>
      <c r="J84" s="43">
        <v>5.6771349999999998</v>
      </c>
      <c r="K84" s="43">
        <v>5.7271200000000002</v>
      </c>
      <c r="L84" s="43">
        <v>5.7924230000000003</v>
      </c>
      <c r="M84" s="43">
        <v>5.8276000000000003</v>
      </c>
      <c r="N84" s="43">
        <v>5.8298199999999998</v>
      </c>
      <c r="O84" s="43">
        <v>5.9256279999999997</v>
      </c>
      <c r="P84" s="43">
        <v>5.9604189999999999</v>
      </c>
      <c r="Q84" s="43">
        <v>5.9792949999999996</v>
      </c>
      <c r="R84" s="43">
        <v>6.0360519999999998</v>
      </c>
      <c r="S84" s="43">
        <v>6.0839109999999996</v>
      </c>
      <c r="T84" s="43">
        <v>6.1114750000000004</v>
      </c>
      <c r="U84" s="43">
        <v>6.1589939999999999</v>
      </c>
      <c r="V84" s="43">
        <v>6.1696499999999999</v>
      </c>
      <c r="W84" s="43">
        <v>6.1923649999999997</v>
      </c>
      <c r="X84" s="43">
        <v>6.2363910000000002</v>
      </c>
      <c r="Y84" s="43">
        <v>6.2538039999999997</v>
      </c>
      <c r="Z84" s="43">
        <v>6.2598229999999999</v>
      </c>
      <c r="AA84" s="43">
        <v>6.2973169999999996</v>
      </c>
      <c r="AB84" s="43">
        <v>6.3197400000000004</v>
      </c>
      <c r="AC84" s="43">
        <v>6.3296049999999999</v>
      </c>
      <c r="AD84" s="43">
        <v>6.3705059999999998</v>
      </c>
      <c r="AE84" s="43">
        <v>6.3608909999999996</v>
      </c>
      <c r="AF84" s="43">
        <v>6.391667</v>
      </c>
      <c r="AG84" s="43">
        <v>6.4166420000000004</v>
      </c>
      <c r="AH84" s="43">
        <v>6.44</v>
      </c>
      <c r="AI84" s="35">
        <v>1.1039999999999999E-2</v>
      </c>
      <c r="AJ84" s="36"/>
      <c r="AK84" s="37"/>
    </row>
    <row r="85" spans="1:37" ht="15" customHeight="1" x14ac:dyDescent="0.35">
      <c r="C85" s="22"/>
    </row>
    <row r="86" spans="1:37" ht="15" customHeight="1" x14ac:dyDescent="0.35">
      <c r="A86" s="25"/>
      <c r="B86" s="32" t="s">
        <v>553</v>
      </c>
      <c r="C86" s="25"/>
      <c r="D86" s="25"/>
      <c r="E86" s="25"/>
      <c r="F86" s="25"/>
      <c r="G86" s="25"/>
      <c r="H86" s="25"/>
      <c r="I86" s="25"/>
      <c r="J86" s="25"/>
      <c r="K86" s="25"/>
      <c r="L86" s="25"/>
      <c r="M86" s="25"/>
      <c r="N86" s="25"/>
      <c r="O86" s="25"/>
      <c r="P86" s="25"/>
      <c r="Q86" s="25"/>
      <c r="R86" s="25"/>
      <c r="S86" s="25"/>
      <c r="T86" s="25"/>
      <c r="U86" s="25"/>
      <c r="V86" s="25"/>
      <c r="W86" s="25"/>
      <c r="X86" s="25"/>
      <c r="Y86" s="25"/>
      <c r="Z86" s="25"/>
      <c r="AA86" s="25"/>
      <c r="AB86" s="25"/>
      <c r="AC86" s="25"/>
      <c r="AD86" s="25"/>
      <c r="AE86" s="25"/>
      <c r="AF86" s="25"/>
      <c r="AG86" s="25"/>
      <c r="AH86" s="25"/>
      <c r="AI86" s="25"/>
    </row>
    <row r="87" spans="1:37" ht="15" customHeight="1" x14ac:dyDescent="0.35">
      <c r="A87" s="29" t="s">
        <v>464</v>
      </c>
      <c r="B87" s="33" t="s">
        <v>427</v>
      </c>
      <c r="C87" s="43">
        <v>3.673584</v>
      </c>
      <c r="D87" s="43">
        <v>3.6252209999999998</v>
      </c>
      <c r="E87" s="43">
        <v>3.5789879999999998</v>
      </c>
      <c r="F87" s="43">
        <v>3.550157</v>
      </c>
      <c r="G87" s="43">
        <v>3.5574479999999999</v>
      </c>
      <c r="H87" s="43">
        <v>3.55287</v>
      </c>
      <c r="I87" s="43">
        <v>3.4710239999999999</v>
      </c>
      <c r="J87" s="43">
        <v>3.495962</v>
      </c>
      <c r="K87" s="43">
        <v>3.4759799999999998</v>
      </c>
      <c r="L87" s="43">
        <v>3.475571</v>
      </c>
      <c r="M87" s="43">
        <v>3.451759</v>
      </c>
      <c r="N87" s="43">
        <v>3.415575</v>
      </c>
      <c r="O87" s="43">
        <v>3.4422869999999999</v>
      </c>
      <c r="P87" s="43">
        <v>3.4304730000000001</v>
      </c>
      <c r="Q87" s="43">
        <v>3.4090289999999999</v>
      </c>
      <c r="R87" s="43">
        <v>3.408277</v>
      </c>
      <c r="S87" s="43">
        <v>3.412992</v>
      </c>
      <c r="T87" s="43">
        <v>3.4042870000000001</v>
      </c>
      <c r="U87" s="43">
        <v>3.4132250000000002</v>
      </c>
      <c r="V87" s="43">
        <v>3.393602</v>
      </c>
      <c r="W87" s="43">
        <v>3.3851650000000002</v>
      </c>
      <c r="X87" s="43">
        <v>3.3948140000000002</v>
      </c>
      <c r="Y87" s="43">
        <v>3.3842370000000002</v>
      </c>
      <c r="Z87" s="43">
        <v>3.3658779999999999</v>
      </c>
      <c r="AA87" s="43">
        <v>3.3728600000000002</v>
      </c>
      <c r="AB87" s="43">
        <v>3.368935</v>
      </c>
      <c r="AC87" s="43">
        <v>3.3562880000000002</v>
      </c>
      <c r="AD87" s="43">
        <v>3.3683429999999999</v>
      </c>
      <c r="AE87" s="43">
        <v>3.3408120000000001</v>
      </c>
      <c r="AF87" s="43">
        <v>3.3466290000000001</v>
      </c>
      <c r="AG87" s="43">
        <v>3.3476249999999999</v>
      </c>
      <c r="AH87" s="43">
        <v>3.3475769999999998</v>
      </c>
      <c r="AI87" s="35">
        <v>-2.993E-3</v>
      </c>
      <c r="AJ87" s="36"/>
      <c r="AK87" s="37"/>
    </row>
    <row r="88" spans="1:37" ht="15" customHeight="1" x14ac:dyDescent="0.35">
      <c r="A88" s="29" t="s">
        <v>463</v>
      </c>
      <c r="B88" s="33" t="s">
        <v>425</v>
      </c>
      <c r="C88" s="43">
        <v>19.123017999999998</v>
      </c>
      <c r="D88" s="43">
        <v>19.811509999999998</v>
      </c>
      <c r="E88" s="43">
        <v>20.072116999999999</v>
      </c>
      <c r="F88" s="43">
        <v>20.276941000000001</v>
      </c>
      <c r="G88" s="43">
        <v>20.398121</v>
      </c>
      <c r="H88" s="43">
        <v>20.426268</v>
      </c>
      <c r="I88" s="43">
        <v>20.655066999999999</v>
      </c>
      <c r="J88" s="43">
        <v>20.690200999999998</v>
      </c>
      <c r="K88" s="43">
        <v>20.756157000000002</v>
      </c>
      <c r="L88" s="43">
        <v>20.805354999999999</v>
      </c>
      <c r="M88" s="43">
        <v>20.858761000000001</v>
      </c>
      <c r="N88" s="43">
        <v>20.935188</v>
      </c>
      <c r="O88" s="43">
        <v>20.967617000000001</v>
      </c>
      <c r="P88" s="43">
        <v>21.005413000000001</v>
      </c>
      <c r="Q88" s="43">
        <v>21.052517000000002</v>
      </c>
      <c r="R88" s="43">
        <v>21.092457</v>
      </c>
      <c r="S88" s="43">
        <v>21.121120000000001</v>
      </c>
      <c r="T88" s="43">
        <v>21.151150000000001</v>
      </c>
      <c r="U88" s="43">
        <v>21.171151999999999</v>
      </c>
      <c r="V88" s="43">
        <v>21.203897000000001</v>
      </c>
      <c r="W88" s="43">
        <v>21.227772000000002</v>
      </c>
      <c r="X88" s="43">
        <v>21.241116999999999</v>
      </c>
      <c r="Y88" s="43">
        <v>21.267586000000001</v>
      </c>
      <c r="Z88" s="43">
        <v>21.293904999999999</v>
      </c>
      <c r="AA88" s="43">
        <v>21.306350999999999</v>
      </c>
      <c r="AB88" s="43">
        <v>21.325294</v>
      </c>
      <c r="AC88" s="43">
        <v>21.344678999999999</v>
      </c>
      <c r="AD88" s="43">
        <v>21.353929999999998</v>
      </c>
      <c r="AE88" s="43">
        <v>21.380949000000001</v>
      </c>
      <c r="AF88" s="43">
        <v>21.392503999999999</v>
      </c>
      <c r="AG88" s="43">
        <v>21.406960000000002</v>
      </c>
      <c r="AH88" s="43">
        <v>21.422118999999999</v>
      </c>
      <c r="AI88" s="35">
        <v>3.669E-3</v>
      </c>
      <c r="AJ88" s="36"/>
      <c r="AK88" s="37"/>
    </row>
    <row r="89" spans="1:37" ht="15" customHeight="1" x14ac:dyDescent="0.35">
      <c r="A89" s="29" t="s">
        <v>462</v>
      </c>
      <c r="B89" s="33" t="s">
        <v>423</v>
      </c>
      <c r="C89" s="43">
        <v>3.2340849999999999</v>
      </c>
      <c r="D89" s="43">
        <v>3.6015039999999998</v>
      </c>
      <c r="E89" s="43">
        <v>3.6601020000000002</v>
      </c>
      <c r="F89" s="43">
        <v>3.7134100000000001</v>
      </c>
      <c r="G89" s="43">
        <v>3.7126800000000002</v>
      </c>
      <c r="H89" s="43">
        <v>3.6288420000000001</v>
      </c>
      <c r="I89" s="43">
        <v>3.7747869999999999</v>
      </c>
      <c r="J89" s="43">
        <v>3.799207</v>
      </c>
      <c r="K89" s="43">
        <v>3.8127930000000001</v>
      </c>
      <c r="L89" s="43">
        <v>3.7986110000000002</v>
      </c>
      <c r="M89" s="43">
        <v>3.820891</v>
      </c>
      <c r="N89" s="43">
        <v>3.8654410000000001</v>
      </c>
      <c r="O89" s="43">
        <v>3.8124850000000001</v>
      </c>
      <c r="P89" s="43">
        <v>3.819547</v>
      </c>
      <c r="Q89" s="43">
        <v>3.8421090000000002</v>
      </c>
      <c r="R89" s="43">
        <v>3.8580009999999998</v>
      </c>
      <c r="S89" s="43">
        <v>3.8462619999999998</v>
      </c>
      <c r="T89" s="43">
        <v>3.8512439999999999</v>
      </c>
      <c r="U89" s="43">
        <v>3.8289249999999999</v>
      </c>
      <c r="V89" s="43">
        <v>3.8513359999999999</v>
      </c>
      <c r="W89" s="43">
        <v>3.8568799999999999</v>
      </c>
      <c r="X89" s="43">
        <v>3.8348770000000001</v>
      </c>
      <c r="Y89" s="43">
        <v>3.8443209999999999</v>
      </c>
      <c r="Z89" s="43">
        <v>3.866336</v>
      </c>
      <c r="AA89" s="43">
        <v>3.849113</v>
      </c>
      <c r="AB89" s="43">
        <v>3.8491330000000001</v>
      </c>
      <c r="AC89" s="43">
        <v>3.8629519999999999</v>
      </c>
      <c r="AD89" s="43">
        <v>3.838511</v>
      </c>
      <c r="AE89" s="43">
        <v>3.8760810000000001</v>
      </c>
      <c r="AF89" s="43">
        <v>3.8618109999999999</v>
      </c>
      <c r="AG89" s="43">
        <v>3.8551069999999998</v>
      </c>
      <c r="AH89" s="43">
        <v>3.8525969999999998</v>
      </c>
      <c r="AI89" s="35">
        <v>5.6610000000000002E-3</v>
      </c>
      <c r="AJ89" s="36"/>
      <c r="AK89" s="37"/>
    </row>
    <row r="90" spans="1:37" ht="15" customHeight="1" x14ac:dyDescent="0.35">
      <c r="A90" s="29" t="s">
        <v>461</v>
      </c>
      <c r="B90" s="33" t="s">
        <v>421</v>
      </c>
      <c r="C90" s="43">
        <v>4.1318419999999998</v>
      </c>
      <c r="D90" s="43">
        <v>4.1534849999999999</v>
      </c>
      <c r="E90" s="43">
        <v>4.1145209999999999</v>
      </c>
      <c r="F90" s="43">
        <v>4.0917269999999997</v>
      </c>
      <c r="G90" s="43">
        <v>4.0711909999999998</v>
      </c>
      <c r="H90" s="43">
        <v>4.0615790000000001</v>
      </c>
      <c r="I90" s="43">
        <v>4.0759020000000001</v>
      </c>
      <c r="J90" s="43">
        <v>4.0737610000000002</v>
      </c>
      <c r="K90" s="43">
        <v>4.0611059999999997</v>
      </c>
      <c r="L90" s="43">
        <v>4.0495479999999997</v>
      </c>
      <c r="M90" s="43">
        <v>4.0393230000000004</v>
      </c>
      <c r="N90" s="43">
        <v>4.0320539999999996</v>
      </c>
      <c r="O90" s="43">
        <v>4.0234880000000004</v>
      </c>
      <c r="P90" s="43">
        <v>4.0155479999999999</v>
      </c>
      <c r="Q90" s="43">
        <v>4.0089550000000003</v>
      </c>
      <c r="R90" s="43">
        <v>4.008858</v>
      </c>
      <c r="S90" s="43">
        <v>4.0037760000000002</v>
      </c>
      <c r="T90" s="43">
        <v>3.9978090000000002</v>
      </c>
      <c r="U90" s="43">
        <v>3.9919560000000001</v>
      </c>
      <c r="V90" s="43">
        <v>3.9868250000000001</v>
      </c>
      <c r="W90" s="43">
        <v>3.9816940000000001</v>
      </c>
      <c r="X90" s="43">
        <v>3.9764370000000002</v>
      </c>
      <c r="Y90" s="43">
        <v>3.97207</v>
      </c>
      <c r="Z90" s="43">
        <v>3.967816</v>
      </c>
      <c r="AA90" s="43">
        <v>3.963282</v>
      </c>
      <c r="AB90" s="43">
        <v>3.9592589999999999</v>
      </c>
      <c r="AC90" s="43">
        <v>3.9553229999999999</v>
      </c>
      <c r="AD90" s="43">
        <v>3.9512830000000001</v>
      </c>
      <c r="AE90" s="43">
        <v>3.9479920000000002</v>
      </c>
      <c r="AF90" s="43">
        <v>3.9443679999999999</v>
      </c>
      <c r="AG90" s="43">
        <v>3.941004</v>
      </c>
      <c r="AH90" s="43">
        <v>3.9383900000000001</v>
      </c>
      <c r="AI90" s="35">
        <v>-1.5460000000000001E-3</v>
      </c>
      <c r="AJ90" s="36"/>
      <c r="AK90" s="37"/>
    </row>
    <row r="91" spans="1:37" ht="15" customHeight="1" x14ac:dyDescent="0.35">
      <c r="A91" s="29" t="s">
        <v>460</v>
      </c>
      <c r="B91" s="33" t="s">
        <v>419</v>
      </c>
      <c r="C91" s="43">
        <v>5.0728650000000002</v>
      </c>
      <c r="D91" s="43">
        <v>4.7375350000000003</v>
      </c>
      <c r="E91" s="43">
        <v>4.6014499999999998</v>
      </c>
      <c r="F91" s="43">
        <v>4.503838</v>
      </c>
      <c r="G91" s="43">
        <v>4.4375809999999998</v>
      </c>
      <c r="H91" s="43">
        <v>4.4095639999999996</v>
      </c>
      <c r="I91" s="43">
        <v>4.3427740000000004</v>
      </c>
      <c r="J91" s="43">
        <v>4.2947610000000003</v>
      </c>
      <c r="K91" s="43">
        <v>4.2587679999999999</v>
      </c>
      <c r="L91" s="43">
        <v>4.233358</v>
      </c>
      <c r="M91" s="43">
        <v>4.2022899999999996</v>
      </c>
      <c r="N91" s="43">
        <v>4.173527</v>
      </c>
      <c r="O91" s="43">
        <v>4.1612349999999996</v>
      </c>
      <c r="P91" s="43">
        <v>4.1390390000000004</v>
      </c>
      <c r="Q91" s="43">
        <v>4.1154770000000003</v>
      </c>
      <c r="R91" s="43">
        <v>4.0935139999999999</v>
      </c>
      <c r="S91" s="43">
        <v>4.0789210000000002</v>
      </c>
      <c r="T91" s="43">
        <v>4.061871</v>
      </c>
      <c r="U91" s="43">
        <v>4.0517349999999999</v>
      </c>
      <c r="V91" s="43">
        <v>4.0327029999999997</v>
      </c>
      <c r="W91" s="43">
        <v>4.0180470000000001</v>
      </c>
      <c r="X91" s="43">
        <v>4.0103989999999996</v>
      </c>
      <c r="Y91" s="43">
        <v>3.995879</v>
      </c>
      <c r="Z91" s="43">
        <v>3.979609</v>
      </c>
      <c r="AA91" s="43">
        <v>3.9723139999999999</v>
      </c>
      <c r="AB91" s="43">
        <v>3.9614690000000001</v>
      </c>
      <c r="AC91" s="43">
        <v>3.9482819999999998</v>
      </c>
      <c r="AD91" s="43">
        <v>3.9440200000000001</v>
      </c>
      <c r="AE91" s="43">
        <v>3.9261499999999998</v>
      </c>
      <c r="AF91" s="43">
        <v>3.919842</v>
      </c>
      <c r="AG91" s="43">
        <v>3.912153</v>
      </c>
      <c r="AH91" s="43">
        <v>3.9039860000000002</v>
      </c>
      <c r="AI91" s="35">
        <v>-8.4130000000000003E-3</v>
      </c>
      <c r="AJ91" s="36"/>
      <c r="AK91" s="37"/>
    </row>
    <row r="92" spans="1:37" ht="15" customHeight="1" x14ac:dyDescent="0.35">
      <c r="A92" s="29" t="s">
        <v>459</v>
      </c>
      <c r="B92" s="33" t="s">
        <v>417</v>
      </c>
      <c r="C92" s="43">
        <v>5.0137349999999996</v>
      </c>
      <c r="D92" s="43">
        <v>4.8219000000000003</v>
      </c>
      <c r="E92" s="43">
        <v>4.7427539999999997</v>
      </c>
      <c r="F92" s="43">
        <v>4.6869750000000003</v>
      </c>
      <c r="G92" s="43">
        <v>4.641413</v>
      </c>
      <c r="H92" s="43">
        <v>4.615469</v>
      </c>
      <c r="I92" s="43">
        <v>4.6057220000000001</v>
      </c>
      <c r="J92" s="43">
        <v>4.5595869999999996</v>
      </c>
      <c r="K92" s="43">
        <v>4.5398310000000004</v>
      </c>
      <c r="L92" s="43">
        <v>4.5212899999999996</v>
      </c>
      <c r="M92" s="43">
        <v>4.5061900000000001</v>
      </c>
      <c r="N92" s="43">
        <v>4.4955629999999998</v>
      </c>
      <c r="O92" s="43">
        <v>4.4792589999999999</v>
      </c>
      <c r="P92" s="43">
        <v>4.4664679999999999</v>
      </c>
      <c r="Q92" s="43">
        <v>4.4554710000000002</v>
      </c>
      <c r="R92" s="43">
        <v>4.4412240000000001</v>
      </c>
      <c r="S92" s="43">
        <v>4.4288850000000002</v>
      </c>
      <c r="T92" s="43">
        <v>4.4188159999999996</v>
      </c>
      <c r="U92" s="43">
        <v>4.4080620000000001</v>
      </c>
      <c r="V92" s="43">
        <v>4.3998739999999996</v>
      </c>
      <c r="W92" s="43">
        <v>4.3914</v>
      </c>
      <c r="X92" s="43">
        <v>4.382504</v>
      </c>
      <c r="Y92" s="43">
        <v>4.374752</v>
      </c>
      <c r="Z92" s="43">
        <v>4.3682319999999999</v>
      </c>
      <c r="AA92" s="43">
        <v>4.3604520000000004</v>
      </c>
      <c r="AB92" s="43">
        <v>4.3533910000000002</v>
      </c>
      <c r="AC92" s="43">
        <v>4.3473769999999998</v>
      </c>
      <c r="AD92" s="43">
        <v>4.340192</v>
      </c>
      <c r="AE92" s="43">
        <v>4.3353089999999996</v>
      </c>
      <c r="AF92" s="43">
        <v>4.3285980000000004</v>
      </c>
      <c r="AG92" s="43">
        <v>4.3223880000000001</v>
      </c>
      <c r="AH92" s="43">
        <v>4.3163010000000002</v>
      </c>
      <c r="AI92" s="35">
        <v>-4.8199999999999996E-3</v>
      </c>
      <c r="AJ92" s="36"/>
      <c r="AK92" s="37"/>
    </row>
    <row r="93" spans="1:37" ht="15" customHeight="1" x14ac:dyDescent="0.35">
      <c r="A93" s="29" t="s">
        <v>636</v>
      </c>
      <c r="B93" s="33" t="s">
        <v>551</v>
      </c>
      <c r="C93" s="43">
        <v>22.905639999999998</v>
      </c>
      <c r="D93" s="43">
        <v>22.595912999999999</v>
      </c>
      <c r="E93" s="43">
        <v>22.579879999999999</v>
      </c>
      <c r="F93" s="43">
        <v>22.581316000000001</v>
      </c>
      <c r="G93" s="43">
        <v>22.600197000000001</v>
      </c>
      <c r="H93" s="43">
        <v>22.651952999999999</v>
      </c>
      <c r="I93" s="43">
        <v>22.502846000000002</v>
      </c>
      <c r="J93" s="43">
        <v>22.573132000000001</v>
      </c>
      <c r="K93" s="43">
        <v>22.576599000000002</v>
      </c>
      <c r="L93" s="43">
        <v>22.600512999999999</v>
      </c>
      <c r="M93" s="43">
        <v>22.596627999999999</v>
      </c>
      <c r="N93" s="43">
        <v>22.578990999999998</v>
      </c>
      <c r="O93" s="43">
        <v>22.620418999999998</v>
      </c>
      <c r="P93" s="43">
        <v>22.623096</v>
      </c>
      <c r="Q93" s="43">
        <v>22.613337000000001</v>
      </c>
      <c r="R93" s="43">
        <v>22.603945</v>
      </c>
      <c r="S93" s="43">
        <v>22.615632999999999</v>
      </c>
      <c r="T93" s="43">
        <v>22.616720000000001</v>
      </c>
      <c r="U93" s="43">
        <v>22.637135000000001</v>
      </c>
      <c r="V93" s="43">
        <v>22.625143000000001</v>
      </c>
      <c r="W93" s="43">
        <v>22.625388999999998</v>
      </c>
      <c r="X93" s="43">
        <v>22.645882</v>
      </c>
      <c r="Y93" s="43">
        <v>22.641670000000001</v>
      </c>
      <c r="Z93" s="43">
        <v>22.629673</v>
      </c>
      <c r="AA93" s="43">
        <v>22.645728999999999</v>
      </c>
      <c r="AB93" s="43">
        <v>22.648334999999999</v>
      </c>
      <c r="AC93" s="43">
        <v>22.642022999999998</v>
      </c>
      <c r="AD93" s="43">
        <v>22.663073000000001</v>
      </c>
      <c r="AE93" s="43">
        <v>22.63843</v>
      </c>
      <c r="AF93" s="43">
        <v>22.649937000000001</v>
      </c>
      <c r="AG93" s="43">
        <v>22.655859</v>
      </c>
      <c r="AH93" s="43">
        <v>22.659421999999999</v>
      </c>
      <c r="AI93" s="35">
        <v>-3.4900000000000003E-4</v>
      </c>
      <c r="AJ93" s="36"/>
      <c r="AK93" s="37"/>
    </row>
    <row r="94" spans="1:37" ht="15" customHeight="1" x14ac:dyDescent="0.35">
      <c r="A94" s="29" t="s">
        <v>637</v>
      </c>
      <c r="B94" s="33" t="s">
        <v>552</v>
      </c>
      <c r="C94" s="43">
        <v>36.845207000000002</v>
      </c>
      <c r="D94" s="43">
        <v>36.652934999999999</v>
      </c>
      <c r="E94" s="43">
        <v>36.650207999999999</v>
      </c>
      <c r="F94" s="43">
        <v>36.595599999999997</v>
      </c>
      <c r="G94" s="43">
        <v>36.581401999999997</v>
      </c>
      <c r="H94" s="43">
        <v>36.653438999999999</v>
      </c>
      <c r="I94" s="43">
        <v>36.571872999999997</v>
      </c>
      <c r="J94" s="43">
        <v>36.513404999999999</v>
      </c>
      <c r="K94" s="43">
        <v>36.518737999999999</v>
      </c>
      <c r="L94" s="43">
        <v>36.515746999999998</v>
      </c>
      <c r="M94" s="43">
        <v>36.524151000000003</v>
      </c>
      <c r="N94" s="43">
        <v>36.503653999999997</v>
      </c>
      <c r="O94" s="43">
        <v>36.493198</v>
      </c>
      <c r="P94" s="43">
        <v>36.500430999999999</v>
      </c>
      <c r="Q94" s="43">
        <v>36.503132000000001</v>
      </c>
      <c r="R94" s="43">
        <v>36.493766999999998</v>
      </c>
      <c r="S94" s="43">
        <v>36.492420000000003</v>
      </c>
      <c r="T94" s="43">
        <v>36.498134999999998</v>
      </c>
      <c r="U94" s="43">
        <v>36.497802999999998</v>
      </c>
      <c r="V94" s="43">
        <v>36.506625999999997</v>
      </c>
      <c r="W94" s="43">
        <v>36.513641</v>
      </c>
      <c r="X94" s="43">
        <v>36.513973</v>
      </c>
      <c r="Y94" s="43">
        <v>36.519492999999997</v>
      </c>
      <c r="Z94" s="43">
        <v>36.528542000000002</v>
      </c>
      <c r="AA94" s="43">
        <v>36.529907000000001</v>
      </c>
      <c r="AB94" s="43">
        <v>36.534163999999997</v>
      </c>
      <c r="AC94" s="43">
        <v>36.543101999999998</v>
      </c>
      <c r="AD94" s="43">
        <v>36.540619</v>
      </c>
      <c r="AE94" s="43">
        <v>36.554313999999998</v>
      </c>
      <c r="AF94" s="43">
        <v>36.556328000000001</v>
      </c>
      <c r="AG94" s="43">
        <v>36.558903000000001</v>
      </c>
      <c r="AH94" s="43">
        <v>36.559601000000001</v>
      </c>
      <c r="AI94" s="35">
        <v>-2.5099999999999998E-4</v>
      </c>
      <c r="AJ94" s="36"/>
      <c r="AK94" s="37"/>
    </row>
    <row r="95" spans="1:37" ht="15" customHeight="1" x14ac:dyDescent="0.35">
      <c r="A95" s="19"/>
    </row>
    <row r="96" spans="1:37" ht="15" customHeight="1" x14ac:dyDescent="0.35">
      <c r="A96" s="25"/>
      <c r="B96" s="32" t="s">
        <v>458</v>
      </c>
      <c r="C96" s="25"/>
      <c r="D96" s="25"/>
      <c r="E96" s="25"/>
      <c r="F96" s="25"/>
      <c r="G96" s="25"/>
      <c r="H96" s="25"/>
      <c r="I96" s="25"/>
      <c r="J96" s="25"/>
      <c r="K96" s="25"/>
      <c r="L96" s="25"/>
      <c r="M96" s="25"/>
      <c r="N96" s="25"/>
      <c r="O96" s="25"/>
      <c r="P96" s="25"/>
      <c r="Q96" s="25"/>
      <c r="R96" s="25"/>
      <c r="S96" s="25"/>
      <c r="T96" s="25"/>
      <c r="U96" s="25"/>
      <c r="V96" s="25"/>
      <c r="W96" s="25"/>
      <c r="X96" s="25"/>
      <c r="Y96" s="25"/>
      <c r="Z96" s="25"/>
      <c r="AA96" s="25"/>
      <c r="AB96" s="25"/>
      <c r="AC96" s="25"/>
      <c r="AD96" s="25"/>
      <c r="AE96" s="25"/>
      <c r="AF96" s="25"/>
      <c r="AG96" s="25"/>
      <c r="AH96" s="25"/>
      <c r="AI96" s="25"/>
    </row>
    <row r="97" spans="1:37" ht="15" customHeight="1" x14ac:dyDescent="0.35">
      <c r="A97" s="25"/>
      <c r="B97" s="32" t="s">
        <v>412</v>
      </c>
      <c r="C97" s="25"/>
      <c r="D97" s="25"/>
      <c r="E97" s="25"/>
      <c r="F97" s="25"/>
      <c r="G97" s="25"/>
      <c r="H97" s="25"/>
      <c r="I97" s="25"/>
      <c r="J97" s="25"/>
      <c r="K97" s="25"/>
      <c r="L97" s="25"/>
      <c r="M97" s="25"/>
      <c r="N97" s="25"/>
      <c r="O97" s="25"/>
      <c r="P97" s="25"/>
      <c r="Q97" s="25"/>
      <c r="R97" s="25"/>
      <c r="S97" s="25"/>
      <c r="T97" s="25"/>
      <c r="U97" s="25"/>
      <c r="V97" s="25"/>
      <c r="W97" s="25"/>
      <c r="X97" s="25"/>
      <c r="Y97" s="25"/>
      <c r="Z97" s="25"/>
      <c r="AA97" s="25"/>
      <c r="AB97" s="25"/>
      <c r="AC97" s="25"/>
      <c r="AD97" s="25"/>
      <c r="AE97" s="25"/>
      <c r="AF97" s="25"/>
      <c r="AG97" s="25"/>
      <c r="AH97" s="25"/>
      <c r="AI97" s="25"/>
    </row>
    <row r="98" spans="1:37" ht="15" customHeight="1" x14ac:dyDescent="0.35">
      <c r="A98" s="29" t="s">
        <v>457</v>
      </c>
      <c r="B98" s="33" t="s">
        <v>441</v>
      </c>
      <c r="C98" s="46">
        <v>266.53851300000002</v>
      </c>
      <c r="D98" s="46">
        <v>258.79482999999999</v>
      </c>
      <c r="E98" s="46">
        <v>249.36682099999999</v>
      </c>
      <c r="F98" s="46">
        <v>240.318726</v>
      </c>
      <c r="G98" s="46">
        <v>232.31012000000001</v>
      </c>
      <c r="H98" s="46">
        <v>230.724716</v>
      </c>
      <c r="I98" s="46">
        <v>226.87321499999999</v>
      </c>
      <c r="J98" s="46">
        <v>225.49809300000001</v>
      </c>
      <c r="K98" s="46">
        <v>224.11094700000001</v>
      </c>
      <c r="L98" s="46">
        <v>222.94657900000001</v>
      </c>
      <c r="M98" s="46">
        <v>221.79155</v>
      </c>
      <c r="N98" s="46">
        <v>220.428528</v>
      </c>
      <c r="O98" s="46">
        <v>219.424271</v>
      </c>
      <c r="P98" s="46">
        <v>218.451538</v>
      </c>
      <c r="Q98" s="46">
        <v>217.355774</v>
      </c>
      <c r="R98" s="46">
        <v>216.26507599999999</v>
      </c>
      <c r="S98" s="46">
        <v>215.228882</v>
      </c>
      <c r="T98" s="46">
        <v>214.148865</v>
      </c>
      <c r="U98" s="46">
        <v>214.77702300000001</v>
      </c>
      <c r="V98" s="46">
        <v>215.28291300000001</v>
      </c>
      <c r="W98" s="46">
        <v>215.77685500000001</v>
      </c>
      <c r="X98" s="46">
        <v>216.448105</v>
      </c>
      <c r="Y98" s="46">
        <v>217.04127500000001</v>
      </c>
      <c r="Z98" s="46">
        <v>217.52789300000001</v>
      </c>
      <c r="AA98" s="46">
        <v>218.14686599999999</v>
      </c>
      <c r="AB98" s="46">
        <v>218.766785</v>
      </c>
      <c r="AC98" s="46">
        <v>219.34023999999999</v>
      </c>
      <c r="AD98" s="46">
        <v>220.08369400000001</v>
      </c>
      <c r="AE98" s="46">
        <v>220.60740699999999</v>
      </c>
      <c r="AF98" s="46">
        <v>221.203461</v>
      </c>
      <c r="AG98" s="46">
        <v>221.82875100000001</v>
      </c>
      <c r="AH98" s="46">
        <v>222.46868900000001</v>
      </c>
      <c r="AI98" s="35">
        <v>-5.8129999999999996E-3</v>
      </c>
      <c r="AJ98" s="47"/>
      <c r="AK98" s="37"/>
    </row>
    <row r="99" spans="1:37" ht="15" customHeight="1" x14ac:dyDescent="0.35">
      <c r="A99" s="29" t="s">
        <v>456</v>
      </c>
      <c r="B99" s="33" t="s">
        <v>439</v>
      </c>
      <c r="C99" s="46">
        <v>263.97189300000002</v>
      </c>
      <c r="D99" s="46">
        <v>259.28146400000003</v>
      </c>
      <c r="E99" s="46">
        <v>249.404144</v>
      </c>
      <c r="F99" s="46">
        <v>236.245453</v>
      </c>
      <c r="G99" s="46">
        <v>226.63812300000001</v>
      </c>
      <c r="H99" s="46">
        <v>223.258636</v>
      </c>
      <c r="I99" s="46">
        <v>216.68838500000001</v>
      </c>
      <c r="J99" s="46">
        <v>215.558853</v>
      </c>
      <c r="K99" s="46">
        <v>214.64598100000001</v>
      </c>
      <c r="L99" s="46">
        <v>214.031937</v>
      </c>
      <c r="M99" s="46">
        <v>213.384995</v>
      </c>
      <c r="N99" s="46">
        <v>212.30844099999999</v>
      </c>
      <c r="O99" s="46">
        <v>211.78866600000001</v>
      </c>
      <c r="P99" s="46">
        <v>211.29016100000001</v>
      </c>
      <c r="Q99" s="46">
        <v>210.54409799999999</v>
      </c>
      <c r="R99" s="46">
        <v>209.902771</v>
      </c>
      <c r="S99" s="46">
        <v>209.37359599999999</v>
      </c>
      <c r="T99" s="46">
        <v>208.80426</v>
      </c>
      <c r="U99" s="46">
        <v>208.467682</v>
      </c>
      <c r="V99" s="46">
        <v>207.93173200000001</v>
      </c>
      <c r="W99" s="46">
        <v>207.38865699999999</v>
      </c>
      <c r="X99" s="46">
        <v>207.15988200000001</v>
      </c>
      <c r="Y99" s="46">
        <v>206.810959</v>
      </c>
      <c r="Z99" s="46">
        <v>206.291977</v>
      </c>
      <c r="AA99" s="46">
        <v>206.01151999999999</v>
      </c>
      <c r="AB99" s="46">
        <v>205.74234000000001</v>
      </c>
      <c r="AC99" s="46">
        <v>205.409988</v>
      </c>
      <c r="AD99" s="46">
        <v>205.36875900000001</v>
      </c>
      <c r="AE99" s="46">
        <v>204.964584</v>
      </c>
      <c r="AF99" s="46">
        <v>204.702316</v>
      </c>
      <c r="AG99" s="46">
        <v>204.49041700000001</v>
      </c>
      <c r="AH99" s="46">
        <v>204.32197600000001</v>
      </c>
      <c r="AI99" s="35">
        <v>-8.2290000000000002E-3</v>
      </c>
      <c r="AJ99" s="47"/>
      <c r="AK99" s="37"/>
    </row>
    <row r="100" spans="1:37" ht="15" customHeight="1" x14ac:dyDescent="0.35">
      <c r="A100" s="29" t="s">
        <v>455</v>
      </c>
      <c r="B100" s="33" t="s">
        <v>437</v>
      </c>
      <c r="C100" s="46">
        <v>172.973816</v>
      </c>
      <c r="D100" s="46">
        <v>170.951584</v>
      </c>
      <c r="E100" s="46">
        <v>166.65081799999999</v>
      </c>
      <c r="F100" s="46">
        <v>161.37016299999999</v>
      </c>
      <c r="G100" s="46">
        <v>156.798416</v>
      </c>
      <c r="H100" s="46">
        <v>156.45622299999999</v>
      </c>
      <c r="I100" s="46">
        <v>153.090057</v>
      </c>
      <c r="J100" s="46">
        <v>152.568207</v>
      </c>
      <c r="K100" s="46">
        <v>152.01092499999999</v>
      </c>
      <c r="L100" s="46">
        <v>151.689178</v>
      </c>
      <c r="M100" s="46">
        <v>151.33377100000001</v>
      </c>
      <c r="N100" s="46">
        <v>150.65557899999999</v>
      </c>
      <c r="O100" s="46">
        <v>150.410797</v>
      </c>
      <c r="P100" s="46">
        <v>150.17894000000001</v>
      </c>
      <c r="Q100" s="46">
        <v>149.754425</v>
      </c>
      <c r="R100" s="46">
        <v>149.45192</v>
      </c>
      <c r="S100" s="46">
        <v>149.23973100000001</v>
      </c>
      <c r="T100" s="46">
        <v>148.98976099999999</v>
      </c>
      <c r="U100" s="46">
        <v>148.91265899999999</v>
      </c>
      <c r="V100" s="46">
        <v>148.66159099999999</v>
      </c>
      <c r="W100" s="46">
        <v>148.39823899999999</v>
      </c>
      <c r="X100" s="46">
        <v>148.37470999999999</v>
      </c>
      <c r="Y100" s="46">
        <v>148.25314299999999</v>
      </c>
      <c r="Z100" s="46">
        <v>147.99491900000001</v>
      </c>
      <c r="AA100" s="46">
        <v>147.91769400000001</v>
      </c>
      <c r="AB100" s="46">
        <v>147.845856</v>
      </c>
      <c r="AC100" s="46">
        <v>147.72331199999999</v>
      </c>
      <c r="AD100" s="46">
        <v>147.822281</v>
      </c>
      <c r="AE100" s="46">
        <v>147.634613</v>
      </c>
      <c r="AF100" s="46">
        <v>147.55552700000001</v>
      </c>
      <c r="AG100" s="46">
        <v>147.511368</v>
      </c>
      <c r="AH100" s="46">
        <v>147.50349399999999</v>
      </c>
      <c r="AI100" s="35">
        <v>-5.1250000000000002E-3</v>
      </c>
      <c r="AJ100" s="47"/>
      <c r="AK100" s="37"/>
    </row>
    <row r="101" spans="1:37" ht="15" customHeight="1" x14ac:dyDescent="0.35">
      <c r="A101" s="29" t="s">
        <v>454</v>
      </c>
      <c r="B101" s="33" t="s">
        <v>435</v>
      </c>
      <c r="C101" s="46">
        <v>184.16880800000001</v>
      </c>
      <c r="D101" s="46">
        <v>182.73208600000001</v>
      </c>
      <c r="E101" s="46">
        <v>179.830612</v>
      </c>
      <c r="F101" s="46">
        <v>174.78471400000001</v>
      </c>
      <c r="G101" s="46">
        <v>171.44541899999999</v>
      </c>
      <c r="H101" s="46">
        <v>169.97936999999999</v>
      </c>
      <c r="I101" s="46">
        <v>163.13557399999999</v>
      </c>
      <c r="J101" s="46">
        <v>163.60827599999999</v>
      </c>
      <c r="K101" s="46">
        <v>164.05372600000001</v>
      </c>
      <c r="L101" s="46">
        <v>164.71798699999999</v>
      </c>
      <c r="M101" s="46">
        <v>165.32685900000001</v>
      </c>
      <c r="N101" s="46">
        <v>165.59899899999999</v>
      </c>
      <c r="O101" s="46">
        <v>166.30946399999999</v>
      </c>
      <c r="P101" s="46">
        <v>166.998627</v>
      </c>
      <c r="Q101" s="46">
        <v>167.48324600000001</v>
      </c>
      <c r="R101" s="46">
        <v>168.09558100000001</v>
      </c>
      <c r="S101" s="46">
        <v>168.81073000000001</v>
      </c>
      <c r="T101" s="46">
        <v>169.47894299999999</v>
      </c>
      <c r="U101" s="46">
        <v>170.303574</v>
      </c>
      <c r="V101" s="46">
        <v>170.94811999999999</v>
      </c>
      <c r="W101" s="46">
        <v>171.57456999999999</v>
      </c>
      <c r="X101" s="46">
        <v>172.439865</v>
      </c>
      <c r="Y101" s="46">
        <v>173.19787600000001</v>
      </c>
      <c r="Z101" s="46">
        <v>173.807648</v>
      </c>
      <c r="AA101" s="46">
        <v>174.59677099999999</v>
      </c>
      <c r="AB101" s="46">
        <v>175.384064</v>
      </c>
      <c r="AC101" s="46">
        <v>176.10960399999999</v>
      </c>
      <c r="AD101" s="46">
        <v>177.05947900000001</v>
      </c>
      <c r="AE101" s="46">
        <v>177.705994</v>
      </c>
      <c r="AF101" s="46">
        <v>178.455826</v>
      </c>
      <c r="AG101" s="46">
        <v>179.236267</v>
      </c>
      <c r="AH101" s="46">
        <v>180.04705799999999</v>
      </c>
      <c r="AI101" s="35">
        <v>-7.2999999999999996E-4</v>
      </c>
      <c r="AJ101" s="47"/>
      <c r="AK101" s="37"/>
    </row>
    <row r="102" spans="1:37" ht="15" customHeight="1" x14ac:dyDescent="0.35">
      <c r="A102" s="29" t="s">
        <v>453</v>
      </c>
      <c r="B102" s="33" t="s">
        <v>433</v>
      </c>
      <c r="C102" s="46">
        <v>231.91864000000001</v>
      </c>
      <c r="D102" s="46">
        <v>230.52375799999999</v>
      </c>
      <c r="E102" s="46">
        <v>226.71426400000001</v>
      </c>
      <c r="F102" s="46">
        <v>221.10136399999999</v>
      </c>
      <c r="G102" s="46">
        <v>213.607529</v>
      </c>
      <c r="H102" s="46">
        <v>212.22699</v>
      </c>
      <c r="I102" s="46">
        <v>206.62974500000001</v>
      </c>
      <c r="J102" s="46">
        <v>205.78836100000001</v>
      </c>
      <c r="K102" s="46">
        <v>205.111313</v>
      </c>
      <c r="L102" s="46">
        <v>204.69859299999999</v>
      </c>
      <c r="M102" s="46">
        <v>204.23796100000001</v>
      </c>
      <c r="N102" s="46">
        <v>203.407791</v>
      </c>
      <c r="O102" s="46">
        <v>203.09094200000001</v>
      </c>
      <c r="P102" s="46">
        <v>202.79039</v>
      </c>
      <c r="Q102" s="46">
        <v>203.98400899999999</v>
      </c>
      <c r="R102" s="46">
        <v>205.27316300000001</v>
      </c>
      <c r="S102" s="46">
        <v>206.67211900000001</v>
      </c>
      <c r="T102" s="46">
        <v>208.01895099999999</v>
      </c>
      <c r="U102" s="46">
        <v>209.55171200000001</v>
      </c>
      <c r="V102" s="46">
        <v>210.87574799999999</v>
      </c>
      <c r="W102" s="46">
        <v>212.179565</v>
      </c>
      <c r="X102" s="46">
        <v>213.747162</v>
      </c>
      <c r="Y102" s="46">
        <v>215.187759</v>
      </c>
      <c r="Z102" s="46">
        <v>216.45581100000001</v>
      </c>
      <c r="AA102" s="46">
        <v>217.92349200000001</v>
      </c>
      <c r="AB102" s="46">
        <v>219.38308699999999</v>
      </c>
      <c r="AC102" s="46">
        <v>220.768021</v>
      </c>
      <c r="AD102" s="46">
        <v>222.407837</v>
      </c>
      <c r="AE102" s="46">
        <v>223.697678</v>
      </c>
      <c r="AF102" s="46">
        <v>225.10450700000001</v>
      </c>
      <c r="AG102" s="46">
        <v>226.54406700000001</v>
      </c>
      <c r="AH102" s="46">
        <v>228.01338200000001</v>
      </c>
      <c r="AI102" s="35">
        <v>-5.4799999999999998E-4</v>
      </c>
      <c r="AJ102" s="47"/>
      <c r="AK102" s="37"/>
    </row>
    <row r="103" spans="1:37" ht="15" customHeight="1" x14ac:dyDescent="0.35">
      <c r="A103" s="29" t="s">
        <v>452</v>
      </c>
      <c r="B103" s="33" t="s">
        <v>431</v>
      </c>
      <c r="C103" s="46">
        <v>374.82540899999998</v>
      </c>
      <c r="D103" s="46">
        <v>369.29083300000002</v>
      </c>
      <c r="E103" s="46">
        <v>360.979401</v>
      </c>
      <c r="F103" s="46">
        <v>350.63223299999999</v>
      </c>
      <c r="G103" s="46">
        <v>340.16806000000003</v>
      </c>
      <c r="H103" s="46">
        <v>342.72100799999998</v>
      </c>
      <c r="I103" s="46">
        <v>340.95834400000001</v>
      </c>
      <c r="J103" s="46">
        <v>342.57470699999999</v>
      </c>
      <c r="K103" s="46">
        <v>344.65225199999998</v>
      </c>
      <c r="L103" s="46">
        <v>347.23501599999997</v>
      </c>
      <c r="M103" s="46">
        <v>349.719604</v>
      </c>
      <c r="N103" s="46">
        <v>351.47549400000003</v>
      </c>
      <c r="O103" s="46">
        <v>354.01608299999998</v>
      </c>
      <c r="P103" s="46">
        <v>356.55636600000003</v>
      </c>
      <c r="Q103" s="46">
        <v>358.73968500000001</v>
      </c>
      <c r="R103" s="46">
        <v>360.975525</v>
      </c>
      <c r="S103" s="46">
        <v>363.34075899999999</v>
      </c>
      <c r="T103" s="46">
        <v>365.61721799999998</v>
      </c>
      <c r="U103" s="46">
        <v>368.22436499999998</v>
      </c>
      <c r="V103" s="46">
        <v>370.48818999999997</v>
      </c>
      <c r="W103" s="46">
        <v>372.71829200000002</v>
      </c>
      <c r="X103" s="46">
        <v>375.41348299999999</v>
      </c>
      <c r="Y103" s="46">
        <v>377.89901700000001</v>
      </c>
      <c r="Z103" s="46">
        <v>380.09774800000002</v>
      </c>
      <c r="AA103" s="46">
        <v>382.64776599999999</v>
      </c>
      <c r="AB103" s="46">
        <v>385.19601399999999</v>
      </c>
      <c r="AC103" s="46">
        <v>387.62283300000001</v>
      </c>
      <c r="AD103" s="46">
        <v>390.49279799999999</v>
      </c>
      <c r="AE103" s="46">
        <v>392.76196299999998</v>
      </c>
      <c r="AF103" s="46">
        <v>395.23635899999999</v>
      </c>
      <c r="AG103" s="46">
        <v>397.77322400000003</v>
      </c>
      <c r="AH103" s="46">
        <v>400.34716800000001</v>
      </c>
      <c r="AI103" s="35">
        <v>2.127E-3</v>
      </c>
      <c r="AJ103" s="47"/>
      <c r="AK103" s="37"/>
    </row>
    <row r="104" spans="1:37" ht="15" customHeight="1" x14ac:dyDescent="0.35">
      <c r="A104" s="29" t="s">
        <v>638</v>
      </c>
      <c r="B104" s="33" t="s">
        <v>551</v>
      </c>
      <c r="C104" s="46">
        <v>166.264343</v>
      </c>
      <c r="D104" s="46">
        <v>164.70640599999999</v>
      </c>
      <c r="E104" s="46">
        <v>161.99623099999999</v>
      </c>
      <c r="F104" s="46">
        <v>157.76672400000001</v>
      </c>
      <c r="G104" s="46">
        <v>153.42083700000001</v>
      </c>
      <c r="H104" s="46">
        <v>150.03762800000001</v>
      </c>
      <c r="I104" s="46">
        <v>145.450806</v>
      </c>
      <c r="J104" s="46">
        <v>145.02351400000001</v>
      </c>
      <c r="K104" s="46">
        <v>144.58990499999999</v>
      </c>
      <c r="L104" s="46">
        <v>144.30462600000001</v>
      </c>
      <c r="M104" s="46">
        <v>144.010559</v>
      </c>
      <c r="N104" s="46">
        <v>143.51859999999999</v>
      </c>
      <c r="O104" s="46">
        <v>143.292282</v>
      </c>
      <c r="P104" s="46">
        <v>143.06607099999999</v>
      </c>
      <c r="Q104" s="46">
        <v>142.72764599999999</v>
      </c>
      <c r="R104" s="46">
        <v>142.46469099999999</v>
      </c>
      <c r="S104" s="46">
        <v>142.272797</v>
      </c>
      <c r="T104" s="46">
        <v>142.06050099999999</v>
      </c>
      <c r="U104" s="46">
        <v>141.9599</v>
      </c>
      <c r="V104" s="46">
        <v>141.766006</v>
      </c>
      <c r="W104" s="46">
        <v>141.57080099999999</v>
      </c>
      <c r="X104" s="46">
        <v>141.52529899999999</v>
      </c>
      <c r="Y104" s="46">
        <v>141.42392000000001</v>
      </c>
      <c r="Z104" s="46">
        <v>141.24331699999999</v>
      </c>
      <c r="AA104" s="46">
        <v>141.175827</v>
      </c>
      <c r="AB104" s="46">
        <v>141.11407500000001</v>
      </c>
      <c r="AC104" s="46">
        <v>141.05787699999999</v>
      </c>
      <c r="AD104" s="46">
        <v>141.13859600000001</v>
      </c>
      <c r="AE104" s="46">
        <v>141.35266100000001</v>
      </c>
      <c r="AF104" s="46">
        <v>141.806839</v>
      </c>
      <c r="AG104" s="46">
        <v>142.270264</v>
      </c>
      <c r="AH104" s="46">
        <v>142.742538</v>
      </c>
      <c r="AI104" s="35">
        <v>-4.908E-3</v>
      </c>
      <c r="AJ104" s="47"/>
      <c r="AK104" s="37"/>
    </row>
    <row r="105" spans="1:37" ht="15" customHeight="1" x14ac:dyDescent="0.35">
      <c r="A105" s="29" t="s">
        <v>639</v>
      </c>
      <c r="B105" s="33" t="s">
        <v>552</v>
      </c>
      <c r="C105" s="46">
        <v>233.82427999999999</v>
      </c>
      <c r="D105" s="46">
        <v>230.97438</v>
      </c>
      <c r="E105" s="46">
        <v>226.46798699999999</v>
      </c>
      <c r="F105" s="46">
        <v>220.092941</v>
      </c>
      <c r="G105" s="46">
        <v>214.72789</v>
      </c>
      <c r="H105" s="46">
        <v>208.67913799999999</v>
      </c>
      <c r="I105" s="46">
        <v>206.38720699999999</v>
      </c>
      <c r="J105" s="46">
        <v>205.72737100000001</v>
      </c>
      <c r="K105" s="46">
        <v>205.58935500000001</v>
      </c>
      <c r="L105" s="46">
        <v>205.602631</v>
      </c>
      <c r="M105" s="46">
        <v>205.59028599999999</v>
      </c>
      <c r="N105" s="46">
        <v>205.38458299999999</v>
      </c>
      <c r="O105" s="46">
        <v>205.42112700000001</v>
      </c>
      <c r="P105" s="46">
        <v>205.46054100000001</v>
      </c>
      <c r="Q105" s="46">
        <v>205.39704900000001</v>
      </c>
      <c r="R105" s="46">
        <v>205.37808200000001</v>
      </c>
      <c r="S105" s="46">
        <v>205.41429099999999</v>
      </c>
      <c r="T105" s="46">
        <v>205.422821</v>
      </c>
      <c r="U105" s="46">
        <v>205.534515</v>
      </c>
      <c r="V105" s="46">
        <v>205.55003400000001</v>
      </c>
      <c r="W105" s="46">
        <v>205.56126399999999</v>
      </c>
      <c r="X105" s="46">
        <v>205.71182300000001</v>
      </c>
      <c r="Y105" s="46">
        <v>205.804428</v>
      </c>
      <c r="Z105" s="46">
        <v>205.81662</v>
      </c>
      <c r="AA105" s="46">
        <v>205.93412799999999</v>
      </c>
      <c r="AB105" s="46">
        <v>206.054001</v>
      </c>
      <c r="AC105" s="46">
        <v>206.13857999999999</v>
      </c>
      <c r="AD105" s="46">
        <v>206.35429400000001</v>
      </c>
      <c r="AE105" s="46">
        <v>206.402252</v>
      </c>
      <c r="AF105" s="46">
        <v>206.50813299999999</v>
      </c>
      <c r="AG105" s="46">
        <v>206.636368</v>
      </c>
      <c r="AH105" s="46">
        <v>206.77958699999999</v>
      </c>
      <c r="AI105" s="35">
        <v>-3.9569999999999996E-3</v>
      </c>
      <c r="AJ105" s="47"/>
      <c r="AK105" s="37"/>
    </row>
    <row r="106" spans="1:37" ht="15" customHeight="1" x14ac:dyDescent="0.35">
      <c r="A106" s="29" t="s">
        <v>451</v>
      </c>
      <c r="B106" s="33" t="s">
        <v>429</v>
      </c>
      <c r="C106" s="46">
        <v>193.55296300000001</v>
      </c>
      <c r="D106" s="46">
        <v>190.73744199999999</v>
      </c>
      <c r="E106" s="46">
        <v>186.68551600000001</v>
      </c>
      <c r="F106" s="46">
        <v>181.153076</v>
      </c>
      <c r="G106" s="46">
        <v>176.303314</v>
      </c>
      <c r="H106" s="46">
        <v>174.03062399999999</v>
      </c>
      <c r="I106" s="46">
        <v>168.49671900000001</v>
      </c>
      <c r="J106" s="46">
        <v>168.23957799999999</v>
      </c>
      <c r="K106" s="46">
        <v>167.97290000000001</v>
      </c>
      <c r="L106" s="46">
        <v>167.997894</v>
      </c>
      <c r="M106" s="46">
        <v>167.881226</v>
      </c>
      <c r="N106" s="46">
        <v>167.359207</v>
      </c>
      <c r="O106" s="46">
        <v>167.63031000000001</v>
      </c>
      <c r="P106" s="46">
        <v>167.65838600000001</v>
      </c>
      <c r="Q106" s="46">
        <v>167.62318400000001</v>
      </c>
      <c r="R106" s="46">
        <v>167.788757</v>
      </c>
      <c r="S106" s="46">
        <v>168.07629399999999</v>
      </c>
      <c r="T106" s="46">
        <v>168.255798</v>
      </c>
      <c r="U106" s="46">
        <v>168.70115699999999</v>
      </c>
      <c r="V106" s="46">
        <v>168.817688</v>
      </c>
      <c r="W106" s="46">
        <v>168.98957799999999</v>
      </c>
      <c r="X106" s="46">
        <v>169.48898299999999</v>
      </c>
      <c r="Y106" s="46">
        <v>169.76367200000001</v>
      </c>
      <c r="Z106" s="46">
        <v>169.85514800000001</v>
      </c>
      <c r="AA106" s="46">
        <v>170.28282200000001</v>
      </c>
      <c r="AB106" s="46">
        <v>170.63391100000001</v>
      </c>
      <c r="AC106" s="46">
        <v>170.88095100000001</v>
      </c>
      <c r="AD106" s="46">
        <v>171.50524899999999</v>
      </c>
      <c r="AE106" s="46">
        <v>171.68009900000001</v>
      </c>
      <c r="AF106" s="46">
        <v>172.25288399999999</v>
      </c>
      <c r="AG106" s="46">
        <v>172.81393399999999</v>
      </c>
      <c r="AH106" s="46">
        <v>173.386154</v>
      </c>
      <c r="AI106" s="35">
        <v>-3.5430000000000001E-3</v>
      </c>
      <c r="AJ106" s="47"/>
      <c r="AK106" s="37"/>
    </row>
    <row r="107" spans="1:37" ht="15" customHeight="1" x14ac:dyDescent="0.35">
      <c r="A107" s="19"/>
    </row>
    <row r="108" spans="1:37" ht="15" customHeight="1" x14ac:dyDescent="0.35">
      <c r="A108" s="25"/>
      <c r="B108" s="32" t="s">
        <v>410</v>
      </c>
      <c r="C108" s="25"/>
      <c r="D108" s="25"/>
      <c r="E108" s="25"/>
      <c r="F108" s="25"/>
      <c r="G108" s="25"/>
      <c r="H108" s="25"/>
      <c r="I108" s="25"/>
      <c r="J108" s="25"/>
      <c r="K108" s="25"/>
      <c r="L108" s="25"/>
      <c r="M108" s="25"/>
      <c r="N108" s="25"/>
      <c r="O108" s="25"/>
      <c r="P108" s="25"/>
      <c r="Q108" s="25"/>
      <c r="R108" s="25"/>
      <c r="S108" s="25"/>
      <c r="T108" s="25"/>
      <c r="U108" s="25"/>
      <c r="V108" s="25"/>
      <c r="W108" s="25"/>
      <c r="X108" s="25"/>
      <c r="Y108" s="25"/>
      <c r="Z108" s="25"/>
      <c r="AA108" s="25"/>
      <c r="AB108" s="25"/>
      <c r="AC108" s="25"/>
      <c r="AD108" s="25"/>
      <c r="AE108" s="25"/>
      <c r="AF108" s="25"/>
      <c r="AG108" s="25"/>
      <c r="AH108" s="25"/>
      <c r="AI108" s="25"/>
    </row>
    <row r="109" spans="1:37" ht="15" customHeight="1" x14ac:dyDescent="0.35">
      <c r="A109" s="29" t="s">
        <v>450</v>
      </c>
      <c r="B109" s="33" t="s">
        <v>427</v>
      </c>
      <c r="C109" s="46">
        <v>246.25941499999999</v>
      </c>
      <c r="D109" s="46">
        <v>239.72602800000001</v>
      </c>
      <c r="E109" s="46">
        <v>232.780823</v>
      </c>
      <c r="F109" s="46">
        <v>220.55564899999999</v>
      </c>
      <c r="G109" s="46">
        <v>211.95938100000001</v>
      </c>
      <c r="H109" s="46">
        <v>198.90481600000001</v>
      </c>
      <c r="I109" s="46">
        <v>190.24717699999999</v>
      </c>
      <c r="J109" s="46">
        <v>186.884018</v>
      </c>
      <c r="K109" s="46">
        <v>183.594086</v>
      </c>
      <c r="L109" s="46">
        <v>180.48962399999999</v>
      </c>
      <c r="M109" s="46">
        <v>177.444885</v>
      </c>
      <c r="N109" s="46">
        <v>174.31353799999999</v>
      </c>
      <c r="O109" s="46">
        <v>171.47163399999999</v>
      </c>
      <c r="P109" s="46">
        <v>168.704376</v>
      </c>
      <c r="Q109" s="46">
        <v>165.90437299999999</v>
      </c>
      <c r="R109" s="46">
        <v>163.20465100000001</v>
      </c>
      <c r="S109" s="46">
        <v>160.60801699999999</v>
      </c>
      <c r="T109" s="46">
        <v>158.03341699999999</v>
      </c>
      <c r="U109" s="46">
        <v>157.36651599999999</v>
      </c>
      <c r="V109" s="46">
        <v>156.63417100000001</v>
      </c>
      <c r="W109" s="46">
        <v>155.917145</v>
      </c>
      <c r="X109" s="46">
        <v>155.351395</v>
      </c>
      <c r="Y109" s="46">
        <v>154.75044299999999</v>
      </c>
      <c r="Z109" s="46">
        <v>154.09338399999999</v>
      </c>
      <c r="AA109" s="46">
        <v>153.55297899999999</v>
      </c>
      <c r="AB109" s="46">
        <v>153.03161600000001</v>
      </c>
      <c r="AC109" s="46">
        <v>152.497086</v>
      </c>
      <c r="AD109" s="46">
        <v>152.09910600000001</v>
      </c>
      <c r="AE109" s="46">
        <v>151.558853</v>
      </c>
      <c r="AF109" s="46">
        <v>151.09120200000001</v>
      </c>
      <c r="AG109" s="46">
        <v>150.65609699999999</v>
      </c>
      <c r="AH109" s="46">
        <v>150.25145000000001</v>
      </c>
      <c r="AI109" s="35">
        <v>-1.5812E-2</v>
      </c>
      <c r="AJ109" s="47"/>
      <c r="AK109" s="37"/>
    </row>
    <row r="110" spans="1:37" ht="15" customHeight="1" x14ac:dyDescent="0.35">
      <c r="A110" s="29" t="s">
        <v>449</v>
      </c>
      <c r="B110" s="33" t="s">
        <v>425</v>
      </c>
      <c r="C110" s="46">
        <v>346.97671500000001</v>
      </c>
      <c r="D110" s="46">
        <v>342.36554000000001</v>
      </c>
      <c r="E110" s="46">
        <v>337.44268799999998</v>
      </c>
      <c r="F110" s="46">
        <v>327.71133400000002</v>
      </c>
      <c r="G110" s="46">
        <v>320.61190800000003</v>
      </c>
      <c r="H110" s="46">
        <v>310.29055799999998</v>
      </c>
      <c r="I110" s="46">
        <v>302.95452899999998</v>
      </c>
      <c r="J110" s="46">
        <v>300.24880999999999</v>
      </c>
      <c r="K110" s="46">
        <v>297.61752300000001</v>
      </c>
      <c r="L110" s="46">
        <v>295.26977499999998</v>
      </c>
      <c r="M110" s="46">
        <v>292.92913800000002</v>
      </c>
      <c r="N110" s="46">
        <v>290.30300899999997</v>
      </c>
      <c r="O110" s="46">
        <v>288.16433699999999</v>
      </c>
      <c r="P110" s="46">
        <v>286.08371</v>
      </c>
      <c r="Q110" s="46">
        <v>283.84497099999999</v>
      </c>
      <c r="R110" s="46">
        <v>282.74377399999997</v>
      </c>
      <c r="S110" s="46">
        <v>281.858948</v>
      </c>
      <c r="T110" s="46">
        <v>280.95291099999997</v>
      </c>
      <c r="U110" s="46">
        <v>280.26147500000002</v>
      </c>
      <c r="V110" s="46">
        <v>279.43170199999997</v>
      </c>
      <c r="W110" s="46">
        <v>278.62643400000002</v>
      </c>
      <c r="X110" s="46">
        <v>278.09957900000001</v>
      </c>
      <c r="Y110" s="46">
        <v>277.49694799999997</v>
      </c>
      <c r="Z110" s="46">
        <v>276.77743500000003</v>
      </c>
      <c r="AA110" s="46">
        <v>276.27200299999998</v>
      </c>
      <c r="AB110" s="46">
        <v>275.79473899999999</v>
      </c>
      <c r="AC110" s="46">
        <v>275.28649899999999</v>
      </c>
      <c r="AD110" s="46">
        <v>275.03042599999998</v>
      </c>
      <c r="AE110" s="46">
        <v>274.494934</v>
      </c>
      <c r="AF110" s="46">
        <v>274.09197999999998</v>
      </c>
      <c r="AG110" s="46">
        <v>273.74349999999998</v>
      </c>
      <c r="AH110" s="46">
        <v>273.44574</v>
      </c>
      <c r="AI110" s="35">
        <v>-7.6530000000000001E-3</v>
      </c>
      <c r="AJ110" s="47"/>
      <c r="AK110" s="37"/>
    </row>
    <row r="111" spans="1:37" ht="15" customHeight="1" x14ac:dyDescent="0.35">
      <c r="A111" s="29" t="s">
        <v>448</v>
      </c>
      <c r="B111" s="33" t="s">
        <v>423</v>
      </c>
      <c r="C111" s="46">
        <v>259.07885700000003</v>
      </c>
      <c r="D111" s="46">
        <v>255.61691300000001</v>
      </c>
      <c r="E111" s="46">
        <v>252.197968</v>
      </c>
      <c r="F111" s="46">
        <v>246.58223000000001</v>
      </c>
      <c r="G111" s="46">
        <v>242.479309</v>
      </c>
      <c r="H111" s="46">
        <v>236.80703700000001</v>
      </c>
      <c r="I111" s="46">
        <v>234.554214</v>
      </c>
      <c r="J111" s="46">
        <v>233.587234</v>
      </c>
      <c r="K111" s="46">
        <v>232.94984400000001</v>
      </c>
      <c r="L111" s="46">
        <v>232.37695299999999</v>
      </c>
      <c r="M111" s="46">
        <v>231.79830899999999</v>
      </c>
      <c r="N111" s="46">
        <v>231.13659699999999</v>
      </c>
      <c r="O111" s="46">
        <v>230.60766599999999</v>
      </c>
      <c r="P111" s="46">
        <v>230.08689899999999</v>
      </c>
      <c r="Q111" s="46">
        <v>229.51791399999999</v>
      </c>
      <c r="R111" s="46">
        <v>228.958313</v>
      </c>
      <c r="S111" s="46">
        <v>229.13784799999999</v>
      </c>
      <c r="T111" s="46">
        <v>229.30316199999999</v>
      </c>
      <c r="U111" s="46">
        <v>229.513138</v>
      </c>
      <c r="V111" s="46">
        <v>229.67276000000001</v>
      </c>
      <c r="W111" s="46">
        <v>229.82501199999999</v>
      </c>
      <c r="X111" s="46">
        <v>230.040131</v>
      </c>
      <c r="Y111" s="46">
        <v>230.22348</v>
      </c>
      <c r="Z111" s="46">
        <v>230.364822</v>
      </c>
      <c r="AA111" s="46">
        <v>230.55201700000001</v>
      </c>
      <c r="AB111" s="46">
        <v>230.73635899999999</v>
      </c>
      <c r="AC111" s="46">
        <v>230.901993</v>
      </c>
      <c r="AD111" s="46">
        <v>231.124908</v>
      </c>
      <c r="AE111" s="46">
        <v>231.266006</v>
      </c>
      <c r="AF111" s="46">
        <v>231.43228099999999</v>
      </c>
      <c r="AG111" s="46">
        <v>231.739655</v>
      </c>
      <c r="AH111" s="46">
        <v>232.05027799999999</v>
      </c>
      <c r="AI111" s="35">
        <v>-3.5479999999999999E-3</v>
      </c>
      <c r="AJ111" s="47"/>
      <c r="AK111" s="37"/>
    </row>
    <row r="112" spans="1:37" ht="15" customHeight="1" x14ac:dyDescent="0.35">
      <c r="A112" s="29" t="s">
        <v>447</v>
      </c>
      <c r="B112" s="33" t="s">
        <v>421</v>
      </c>
      <c r="C112" s="46">
        <v>275.55026199999998</v>
      </c>
      <c r="D112" s="46">
        <v>268.77417000000003</v>
      </c>
      <c r="E112" s="46">
        <v>261.46829200000002</v>
      </c>
      <c r="F112" s="46">
        <v>250.44314600000001</v>
      </c>
      <c r="G112" s="46">
        <v>239.70365899999999</v>
      </c>
      <c r="H112" s="46">
        <v>229.82595800000001</v>
      </c>
      <c r="I112" s="46">
        <v>225.40089399999999</v>
      </c>
      <c r="J112" s="46">
        <v>223.70611600000001</v>
      </c>
      <c r="K112" s="46">
        <v>222.029663</v>
      </c>
      <c r="L112" s="46">
        <v>220.46186800000001</v>
      </c>
      <c r="M112" s="46">
        <v>218.906891</v>
      </c>
      <c r="N112" s="46">
        <v>217.240005</v>
      </c>
      <c r="O112" s="46">
        <v>215.80354299999999</v>
      </c>
      <c r="P112" s="46">
        <v>214.39627100000001</v>
      </c>
      <c r="Q112" s="46">
        <v>212.92308</v>
      </c>
      <c r="R112" s="46">
        <v>211.48619099999999</v>
      </c>
      <c r="S112" s="46">
        <v>210.253265</v>
      </c>
      <c r="T112" s="46">
        <v>209.01916499999999</v>
      </c>
      <c r="U112" s="46">
        <v>207.881866</v>
      </c>
      <c r="V112" s="46">
        <v>206.68388400000001</v>
      </c>
      <c r="W112" s="46">
        <v>205.495667</v>
      </c>
      <c r="X112" s="46">
        <v>204.43630999999999</v>
      </c>
      <c r="Y112" s="46">
        <v>203.343018</v>
      </c>
      <c r="Z112" s="46">
        <v>202.19541899999999</v>
      </c>
      <c r="AA112" s="46">
        <v>201.15029899999999</v>
      </c>
      <c r="AB112" s="46">
        <v>200.119888</v>
      </c>
      <c r="AC112" s="46">
        <v>199.07484400000001</v>
      </c>
      <c r="AD112" s="46">
        <v>198.15571600000001</v>
      </c>
      <c r="AE112" s="46">
        <v>197.099808</v>
      </c>
      <c r="AF112" s="46">
        <v>196.11097699999999</v>
      </c>
      <c r="AG112" s="46">
        <v>195.151611</v>
      </c>
      <c r="AH112" s="46">
        <v>194.220978</v>
      </c>
      <c r="AI112" s="35">
        <v>-1.1220000000000001E-2</v>
      </c>
      <c r="AJ112" s="47"/>
      <c r="AK112" s="37"/>
    </row>
    <row r="113" spans="1:37" ht="15" customHeight="1" x14ac:dyDescent="0.35">
      <c r="A113" s="29" t="s">
        <v>446</v>
      </c>
      <c r="B113" s="33" t="s">
        <v>419</v>
      </c>
      <c r="C113" s="46">
        <v>268.31140099999999</v>
      </c>
      <c r="D113" s="46">
        <v>259.680969</v>
      </c>
      <c r="E113" s="46">
        <v>249.88479599999999</v>
      </c>
      <c r="F113" s="46">
        <v>234.95837399999999</v>
      </c>
      <c r="G113" s="46">
        <v>223.62086500000001</v>
      </c>
      <c r="H113" s="46">
        <v>212.28239400000001</v>
      </c>
      <c r="I113" s="46">
        <v>207.314896</v>
      </c>
      <c r="J113" s="46">
        <v>205.39056400000001</v>
      </c>
      <c r="K113" s="46">
        <v>203.49437</v>
      </c>
      <c r="L113" s="46">
        <v>201.72363300000001</v>
      </c>
      <c r="M113" s="46">
        <v>199.96426400000001</v>
      </c>
      <c r="N113" s="46">
        <v>198.080521</v>
      </c>
      <c r="O113" s="46">
        <v>196.424057</v>
      </c>
      <c r="P113" s="46">
        <v>194.8013</v>
      </c>
      <c r="Q113" s="46">
        <v>193.11029099999999</v>
      </c>
      <c r="R113" s="46">
        <v>191.46017499999999</v>
      </c>
      <c r="S113" s="46">
        <v>190.340012</v>
      </c>
      <c r="T113" s="46">
        <v>189.21945199999999</v>
      </c>
      <c r="U113" s="46">
        <v>188.20347599999999</v>
      </c>
      <c r="V113" s="46">
        <v>187.12170399999999</v>
      </c>
      <c r="W113" s="46">
        <v>186.05023199999999</v>
      </c>
      <c r="X113" s="46">
        <v>185.11621099999999</v>
      </c>
      <c r="Y113" s="46">
        <v>184.145645</v>
      </c>
      <c r="Z113" s="46">
        <v>183.11758399999999</v>
      </c>
      <c r="AA113" s="46">
        <v>182.19747899999999</v>
      </c>
      <c r="AB113" s="46">
        <v>181.29260300000001</v>
      </c>
      <c r="AC113" s="46">
        <v>180.37223800000001</v>
      </c>
      <c r="AD113" s="46">
        <v>179.582581</v>
      </c>
      <c r="AE113" s="46">
        <v>178.65107699999999</v>
      </c>
      <c r="AF113" s="46">
        <v>177.78877299999999</v>
      </c>
      <c r="AG113" s="46">
        <v>176.95665</v>
      </c>
      <c r="AH113" s="46">
        <v>176.152603</v>
      </c>
      <c r="AI113" s="35">
        <v>-1.3481999999999999E-2</v>
      </c>
      <c r="AJ113" s="47"/>
      <c r="AK113" s="37"/>
    </row>
    <row r="114" spans="1:37" ht="15" customHeight="1" x14ac:dyDescent="0.35">
      <c r="A114" s="29" t="s">
        <v>445</v>
      </c>
      <c r="B114" s="33" t="s">
        <v>417</v>
      </c>
      <c r="C114" s="46">
        <v>347.89175399999999</v>
      </c>
      <c r="D114" s="46">
        <v>341.669556</v>
      </c>
      <c r="E114" s="46">
        <v>334.70864899999998</v>
      </c>
      <c r="F114" s="46">
        <v>322.36547899999999</v>
      </c>
      <c r="G114" s="46">
        <v>313.080963</v>
      </c>
      <c r="H114" s="46">
        <v>297.09167500000001</v>
      </c>
      <c r="I114" s="46">
        <v>289.10919200000001</v>
      </c>
      <c r="J114" s="46">
        <v>285.56463600000001</v>
      </c>
      <c r="K114" s="46">
        <v>282.11071800000002</v>
      </c>
      <c r="L114" s="46">
        <v>278.88992300000001</v>
      </c>
      <c r="M114" s="46">
        <v>275.712219</v>
      </c>
      <c r="N114" s="46">
        <v>272.38436899999999</v>
      </c>
      <c r="O114" s="46">
        <v>269.42715500000003</v>
      </c>
      <c r="P114" s="46">
        <v>266.54901100000001</v>
      </c>
      <c r="Q114" s="46">
        <v>263.58026100000001</v>
      </c>
      <c r="R114" s="46">
        <v>261.12091099999998</v>
      </c>
      <c r="S114" s="46">
        <v>258.72024499999998</v>
      </c>
      <c r="T114" s="46">
        <v>256.34960899999999</v>
      </c>
      <c r="U114" s="46">
        <v>254.166077</v>
      </c>
      <c r="V114" s="46">
        <v>251.91227699999999</v>
      </c>
      <c r="W114" s="46">
        <v>249.703003</v>
      </c>
      <c r="X114" s="46">
        <v>247.725662</v>
      </c>
      <c r="Y114" s="46">
        <v>245.71850599999999</v>
      </c>
      <c r="Z114" s="46">
        <v>243.65051299999999</v>
      </c>
      <c r="AA114" s="46">
        <v>241.76666299999999</v>
      </c>
      <c r="AB114" s="46">
        <v>239.92756700000001</v>
      </c>
      <c r="AC114" s="46">
        <v>238.08779899999999</v>
      </c>
      <c r="AD114" s="46">
        <v>236.46051</v>
      </c>
      <c r="AE114" s="46">
        <v>234.64328</v>
      </c>
      <c r="AF114" s="46">
        <v>232.94770800000001</v>
      </c>
      <c r="AG114" s="46">
        <v>231.31407200000001</v>
      </c>
      <c r="AH114" s="46">
        <v>229.73472599999999</v>
      </c>
      <c r="AI114" s="35">
        <v>-1.3297E-2</v>
      </c>
      <c r="AJ114" s="47"/>
      <c r="AK114" s="37"/>
    </row>
    <row r="115" spans="1:37" ht="15" customHeight="1" x14ac:dyDescent="0.35">
      <c r="A115" s="29" t="s">
        <v>640</v>
      </c>
      <c r="B115" s="33" t="s">
        <v>551</v>
      </c>
      <c r="C115" s="46">
        <v>184.81456</v>
      </c>
      <c r="D115" s="46">
        <v>181.43568400000001</v>
      </c>
      <c r="E115" s="46">
        <v>177.65600599999999</v>
      </c>
      <c r="F115" s="46">
        <v>171.209259</v>
      </c>
      <c r="G115" s="46">
        <v>167.42013499999999</v>
      </c>
      <c r="H115" s="46">
        <v>163.42770400000001</v>
      </c>
      <c r="I115" s="46">
        <v>158.400543</v>
      </c>
      <c r="J115" s="46">
        <v>156.44302400000001</v>
      </c>
      <c r="K115" s="46">
        <v>154.50680500000001</v>
      </c>
      <c r="L115" s="46">
        <v>152.75007600000001</v>
      </c>
      <c r="M115" s="46">
        <v>150.98732000000001</v>
      </c>
      <c r="N115" s="46">
        <v>149.01676900000001</v>
      </c>
      <c r="O115" s="46">
        <v>147.36540199999999</v>
      </c>
      <c r="P115" s="46">
        <v>145.743469</v>
      </c>
      <c r="Q115" s="46">
        <v>144.01315299999999</v>
      </c>
      <c r="R115" s="46">
        <v>142.37785299999999</v>
      </c>
      <c r="S115" s="46">
        <v>140.836456</v>
      </c>
      <c r="T115" s="46">
        <v>139.48812899999999</v>
      </c>
      <c r="U115" s="46">
        <v>138.27562</v>
      </c>
      <c r="V115" s="46">
        <v>136.96464499999999</v>
      </c>
      <c r="W115" s="46">
        <v>135.66340600000001</v>
      </c>
      <c r="X115" s="46">
        <v>134.543655</v>
      </c>
      <c r="Y115" s="46">
        <v>133.36874399999999</v>
      </c>
      <c r="Z115" s="46">
        <v>132.111435</v>
      </c>
      <c r="AA115" s="46">
        <v>130.99470500000001</v>
      </c>
      <c r="AB115" s="46">
        <v>129.89447000000001</v>
      </c>
      <c r="AC115" s="46">
        <v>130.08897400000001</v>
      </c>
      <c r="AD115" s="46">
        <v>130.43713399999999</v>
      </c>
      <c r="AE115" s="46">
        <v>130.58290099999999</v>
      </c>
      <c r="AF115" s="46">
        <v>130.88209499999999</v>
      </c>
      <c r="AG115" s="46">
        <v>131.250946</v>
      </c>
      <c r="AH115" s="46">
        <v>131.63790900000001</v>
      </c>
      <c r="AI115" s="35">
        <v>-1.0885000000000001E-2</v>
      </c>
      <c r="AJ115" s="47"/>
      <c r="AK115" s="37"/>
    </row>
    <row r="116" spans="1:37" ht="15" customHeight="1" x14ac:dyDescent="0.35">
      <c r="A116" s="29" t="s">
        <v>641</v>
      </c>
      <c r="B116" s="33" t="s">
        <v>552</v>
      </c>
      <c r="C116" s="46">
        <v>272.51892099999998</v>
      </c>
      <c r="D116" s="46">
        <v>267.51483200000001</v>
      </c>
      <c r="E116" s="46">
        <v>257.61535600000002</v>
      </c>
      <c r="F116" s="46">
        <v>249.60977199999999</v>
      </c>
      <c r="G116" s="46">
        <v>243.46054100000001</v>
      </c>
      <c r="H116" s="46">
        <v>232.01470900000001</v>
      </c>
      <c r="I116" s="46">
        <v>227.35110499999999</v>
      </c>
      <c r="J116" s="46">
        <v>227.08137500000001</v>
      </c>
      <c r="K116" s="46">
        <v>225.974594</v>
      </c>
      <c r="L116" s="46">
        <v>225.10913099999999</v>
      </c>
      <c r="M116" s="46">
        <v>224.22903400000001</v>
      </c>
      <c r="N116" s="46">
        <v>223.05987500000001</v>
      </c>
      <c r="O116" s="46">
        <v>222.33062699999999</v>
      </c>
      <c r="P116" s="46">
        <v>221.631348</v>
      </c>
      <c r="Q116" s="46">
        <v>220.752365</v>
      </c>
      <c r="R116" s="46">
        <v>219.950119</v>
      </c>
      <c r="S116" s="46">
        <v>219.95825199999999</v>
      </c>
      <c r="T116" s="46">
        <v>220.46942100000001</v>
      </c>
      <c r="U116" s="46">
        <v>221.14941400000001</v>
      </c>
      <c r="V116" s="46">
        <v>221.66716</v>
      </c>
      <c r="W116" s="46">
        <v>222.17262299999999</v>
      </c>
      <c r="X116" s="46">
        <v>222.91119399999999</v>
      </c>
      <c r="Y116" s="46">
        <v>223.549713</v>
      </c>
      <c r="Z116" s="46">
        <v>224.04920999999999</v>
      </c>
      <c r="AA116" s="46">
        <v>224.724289</v>
      </c>
      <c r="AB116" s="46">
        <v>225.400711</v>
      </c>
      <c r="AC116" s="46">
        <v>226.02200300000001</v>
      </c>
      <c r="AD116" s="46">
        <v>226.86088599999999</v>
      </c>
      <c r="AE116" s="46">
        <v>227.410889</v>
      </c>
      <c r="AF116" s="46">
        <v>228.06471300000001</v>
      </c>
      <c r="AG116" s="46">
        <v>228.74958799999999</v>
      </c>
      <c r="AH116" s="46">
        <v>229.46078499999999</v>
      </c>
      <c r="AI116" s="35">
        <v>-5.5319999999999996E-3</v>
      </c>
      <c r="AJ116" s="47"/>
      <c r="AK116" s="37"/>
    </row>
    <row r="117" spans="1:37" ht="15" customHeight="1" x14ac:dyDescent="0.35">
      <c r="A117" s="29" t="s">
        <v>444</v>
      </c>
      <c r="B117" s="33" t="s">
        <v>415</v>
      </c>
      <c r="C117" s="46">
        <v>266.91445900000002</v>
      </c>
      <c r="D117" s="46">
        <v>262.86853000000002</v>
      </c>
      <c r="E117" s="46">
        <v>256.13763399999999</v>
      </c>
      <c r="F117" s="46">
        <v>247.721619</v>
      </c>
      <c r="G117" s="46">
        <v>241.574783</v>
      </c>
      <c r="H117" s="46">
        <v>232.14442399999999</v>
      </c>
      <c r="I117" s="46">
        <v>227.060486</v>
      </c>
      <c r="J117" s="46">
        <v>225.47811899999999</v>
      </c>
      <c r="K117" s="46">
        <v>223.73599200000001</v>
      </c>
      <c r="L117" s="46">
        <v>222.16644299999999</v>
      </c>
      <c r="M117" s="46">
        <v>220.64297500000001</v>
      </c>
      <c r="N117" s="46">
        <v>218.92330899999999</v>
      </c>
      <c r="O117" s="46">
        <v>217.449127</v>
      </c>
      <c r="P117" s="46">
        <v>216.08621199999999</v>
      </c>
      <c r="Q117" s="46">
        <v>214.61312899999999</v>
      </c>
      <c r="R117" s="46">
        <v>213.43640099999999</v>
      </c>
      <c r="S117" s="46">
        <v>212.66398599999999</v>
      </c>
      <c r="T117" s="46">
        <v>212.15237400000001</v>
      </c>
      <c r="U117" s="46">
        <v>211.812454</v>
      </c>
      <c r="V117" s="46">
        <v>211.41980000000001</v>
      </c>
      <c r="W117" s="46">
        <v>211.002365</v>
      </c>
      <c r="X117" s="46">
        <v>210.75237999999999</v>
      </c>
      <c r="Y117" s="46">
        <v>210.48687699999999</v>
      </c>
      <c r="Z117" s="46">
        <v>210.132339</v>
      </c>
      <c r="AA117" s="46">
        <v>209.87445099999999</v>
      </c>
      <c r="AB117" s="46">
        <v>209.66171299999999</v>
      </c>
      <c r="AC117" s="46">
        <v>209.75138899999999</v>
      </c>
      <c r="AD117" s="46">
        <v>209.970551</v>
      </c>
      <c r="AE117" s="46">
        <v>210.058502</v>
      </c>
      <c r="AF117" s="46">
        <v>210.17291299999999</v>
      </c>
      <c r="AG117" s="46">
        <v>210.35228000000001</v>
      </c>
      <c r="AH117" s="46">
        <v>210.56616199999999</v>
      </c>
      <c r="AI117" s="35">
        <v>-7.62E-3</v>
      </c>
      <c r="AJ117" s="47"/>
      <c r="AK117" s="37"/>
    </row>
    <row r="118" spans="1:37" ht="15" customHeight="1" x14ac:dyDescent="0.35">
      <c r="A118" s="19"/>
    </row>
    <row r="119" spans="1:37" ht="15" customHeight="1" x14ac:dyDescent="0.35">
      <c r="A119" s="25"/>
      <c r="B119" s="32" t="s">
        <v>443</v>
      </c>
      <c r="C119" s="25"/>
      <c r="D119" s="25"/>
      <c r="E119" s="25"/>
      <c r="F119" s="25"/>
      <c r="G119" s="25"/>
      <c r="H119" s="25"/>
      <c r="I119" s="25"/>
      <c r="J119" s="25"/>
      <c r="K119" s="25"/>
      <c r="L119" s="25"/>
      <c r="M119" s="25"/>
      <c r="N119" s="25"/>
      <c r="O119" s="25"/>
      <c r="P119" s="25"/>
      <c r="Q119" s="25"/>
      <c r="R119" s="25"/>
      <c r="S119" s="25"/>
      <c r="T119" s="25"/>
      <c r="U119" s="25"/>
      <c r="V119" s="25"/>
      <c r="W119" s="25"/>
      <c r="X119" s="25"/>
      <c r="Y119" s="25"/>
      <c r="Z119" s="25"/>
      <c r="AA119" s="25"/>
      <c r="AB119" s="25"/>
      <c r="AC119" s="25"/>
      <c r="AD119" s="25"/>
      <c r="AE119" s="25"/>
      <c r="AF119" s="25"/>
      <c r="AG119" s="25"/>
      <c r="AH119" s="25"/>
      <c r="AI119" s="25"/>
    </row>
    <row r="120" spans="1:37" ht="15" customHeight="1" x14ac:dyDescent="0.35">
      <c r="A120" s="25"/>
      <c r="B120" s="32" t="s">
        <v>412</v>
      </c>
      <c r="C120" s="25"/>
      <c r="D120" s="25"/>
      <c r="E120" s="25"/>
      <c r="F120" s="25"/>
      <c r="G120" s="25"/>
      <c r="H120" s="25"/>
      <c r="I120" s="25"/>
      <c r="J120" s="25"/>
      <c r="K120" s="25"/>
      <c r="L120" s="25"/>
      <c r="M120" s="25"/>
      <c r="N120" s="25"/>
      <c r="O120" s="25"/>
      <c r="P120" s="25"/>
      <c r="Q120" s="25"/>
      <c r="R120" s="25"/>
      <c r="S120" s="25"/>
      <c r="T120" s="25"/>
      <c r="U120" s="25"/>
      <c r="V120" s="25"/>
      <c r="W120" s="25"/>
      <c r="X120" s="25"/>
      <c r="Y120" s="25"/>
      <c r="Z120" s="25"/>
      <c r="AA120" s="25"/>
      <c r="AB120" s="25"/>
      <c r="AC120" s="25"/>
      <c r="AD120" s="25"/>
      <c r="AE120" s="25"/>
      <c r="AF120" s="25"/>
      <c r="AG120" s="25"/>
      <c r="AH120" s="25"/>
      <c r="AI120" s="25"/>
    </row>
    <row r="121" spans="1:37" ht="15" customHeight="1" x14ac:dyDescent="0.35">
      <c r="A121" s="29" t="s">
        <v>442</v>
      </c>
      <c r="B121" s="33" t="s">
        <v>441</v>
      </c>
      <c r="C121" s="46">
        <v>2938.2875979999999</v>
      </c>
      <c r="D121" s="46">
        <v>2889.3691410000001</v>
      </c>
      <c r="E121" s="46">
        <v>2825.6982419999999</v>
      </c>
      <c r="F121" s="46">
        <v>2758.2145999999998</v>
      </c>
      <c r="G121" s="46">
        <v>2698.6723630000001</v>
      </c>
      <c r="H121" s="46">
        <v>2675.3723140000002</v>
      </c>
      <c r="I121" s="46">
        <v>2643.6520999999998</v>
      </c>
      <c r="J121" s="46">
        <v>2643.344482</v>
      </c>
      <c r="K121" s="46">
        <v>2642.6823730000001</v>
      </c>
      <c r="L121" s="46">
        <v>2642.2583009999998</v>
      </c>
      <c r="M121" s="46">
        <v>2642.0627439999998</v>
      </c>
      <c r="N121" s="46">
        <v>2641.9572750000002</v>
      </c>
      <c r="O121" s="46">
        <v>2642.1767580000001</v>
      </c>
      <c r="P121" s="46">
        <v>2642.4907229999999</v>
      </c>
      <c r="Q121" s="46">
        <v>2643.0058589999999</v>
      </c>
      <c r="R121" s="46">
        <v>2643.1079100000002</v>
      </c>
      <c r="S121" s="46">
        <v>2643.110596</v>
      </c>
      <c r="T121" s="46">
        <v>2643.110107</v>
      </c>
      <c r="U121" s="46">
        <v>2643.0812989999999</v>
      </c>
      <c r="V121" s="46">
        <v>2643.0541990000002</v>
      </c>
      <c r="W121" s="46">
        <v>2642.993164</v>
      </c>
      <c r="X121" s="46">
        <v>2642.9501949999999</v>
      </c>
      <c r="Y121" s="46">
        <v>2642.8625489999999</v>
      </c>
      <c r="Z121" s="46">
        <v>2642.7702640000002</v>
      </c>
      <c r="AA121" s="46">
        <v>2642.7006839999999</v>
      </c>
      <c r="AB121" s="46">
        <v>2642.6364749999998</v>
      </c>
      <c r="AC121" s="46">
        <v>2642.4885250000002</v>
      </c>
      <c r="AD121" s="46">
        <v>2642.4255370000001</v>
      </c>
      <c r="AE121" s="46">
        <v>2642.373779</v>
      </c>
      <c r="AF121" s="46">
        <v>2642.2421880000002</v>
      </c>
      <c r="AG121" s="46">
        <v>2642.1953119999998</v>
      </c>
      <c r="AH121" s="46">
        <v>2642.1179200000001</v>
      </c>
      <c r="AI121" s="35">
        <v>-3.421E-3</v>
      </c>
      <c r="AJ121" s="47"/>
      <c r="AK121" s="37"/>
    </row>
    <row r="122" spans="1:37" ht="15" customHeight="1" x14ac:dyDescent="0.35">
      <c r="A122" s="29" t="s">
        <v>440</v>
      </c>
      <c r="B122" s="33" t="s">
        <v>439</v>
      </c>
      <c r="C122" s="46">
        <v>3315.5913089999999</v>
      </c>
      <c r="D122" s="46">
        <v>3263.9794919999999</v>
      </c>
      <c r="E122" s="46">
        <v>3173.3796390000002</v>
      </c>
      <c r="F122" s="46">
        <v>3066.499268</v>
      </c>
      <c r="G122" s="46">
        <v>2991.9099120000001</v>
      </c>
      <c r="H122" s="46">
        <v>2951.1979980000001</v>
      </c>
      <c r="I122" s="46">
        <v>2891.55249</v>
      </c>
      <c r="J122" s="46">
        <v>2891.0439449999999</v>
      </c>
      <c r="K122" s="46">
        <v>2891.3325199999999</v>
      </c>
      <c r="L122" s="46">
        <v>2891.6665039999998</v>
      </c>
      <c r="M122" s="46">
        <v>2891.9948730000001</v>
      </c>
      <c r="N122" s="46">
        <v>2892.3266600000002</v>
      </c>
      <c r="O122" s="46">
        <v>2892.7248540000001</v>
      </c>
      <c r="P122" s="46">
        <v>2893.2619629999999</v>
      </c>
      <c r="Q122" s="46">
        <v>2893.8125</v>
      </c>
      <c r="R122" s="46">
        <v>2893.9040530000002</v>
      </c>
      <c r="S122" s="46">
        <v>2893.8937989999999</v>
      </c>
      <c r="T122" s="46">
        <v>2893.8771969999998</v>
      </c>
      <c r="U122" s="46">
        <v>2893.8627929999998</v>
      </c>
      <c r="V122" s="46">
        <v>2893.8637699999999</v>
      </c>
      <c r="W122" s="46">
        <v>2893.8508299999999</v>
      </c>
      <c r="X122" s="46">
        <v>2893.843018</v>
      </c>
      <c r="Y122" s="46">
        <v>2893.8376459999999</v>
      </c>
      <c r="Z122" s="46">
        <v>2893.8303219999998</v>
      </c>
      <c r="AA122" s="46">
        <v>2893.8254390000002</v>
      </c>
      <c r="AB122" s="46">
        <v>2893.8203119999998</v>
      </c>
      <c r="AC122" s="46">
        <v>2893.8041990000002</v>
      </c>
      <c r="AD122" s="46">
        <v>2893.796143</v>
      </c>
      <c r="AE122" s="46">
        <v>2893.7897950000001</v>
      </c>
      <c r="AF122" s="46">
        <v>2893.7753910000001</v>
      </c>
      <c r="AG122" s="46">
        <v>2893.7617190000001</v>
      </c>
      <c r="AH122" s="46">
        <v>2893.7387699999999</v>
      </c>
      <c r="AI122" s="35">
        <v>-4.3800000000000002E-3</v>
      </c>
      <c r="AJ122" s="47"/>
      <c r="AK122" s="37"/>
    </row>
    <row r="123" spans="1:37" ht="15" customHeight="1" x14ac:dyDescent="0.35">
      <c r="A123" s="29" t="s">
        <v>438</v>
      </c>
      <c r="B123" s="33" t="s">
        <v>437</v>
      </c>
      <c r="C123" s="46">
        <v>3080.2934570000002</v>
      </c>
      <c r="D123" s="46">
        <v>3047.9626459999999</v>
      </c>
      <c r="E123" s="46">
        <v>2986.1120609999998</v>
      </c>
      <c r="F123" s="46">
        <v>2918.8474120000001</v>
      </c>
      <c r="G123" s="46">
        <v>2865.2209469999998</v>
      </c>
      <c r="H123" s="46">
        <v>2843.1130370000001</v>
      </c>
      <c r="I123" s="46">
        <v>2794.3508299999999</v>
      </c>
      <c r="J123" s="46">
        <v>2794.3066410000001</v>
      </c>
      <c r="K123" s="46">
        <v>2794.6921390000002</v>
      </c>
      <c r="L123" s="46">
        <v>2795.255615</v>
      </c>
      <c r="M123" s="46">
        <v>2795.906982</v>
      </c>
      <c r="N123" s="46">
        <v>2796.560547</v>
      </c>
      <c r="O123" s="46">
        <v>2797.2138669999999</v>
      </c>
      <c r="P123" s="46">
        <v>2797.8720699999999</v>
      </c>
      <c r="Q123" s="46">
        <v>2798.5361330000001</v>
      </c>
      <c r="R123" s="46">
        <v>2798.7285160000001</v>
      </c>
      <c r="S123" s="46">
        <v>2798.819336</v>
      </c>
      <c r="T123" s="46">
        <v>2798.921143</v>
      </c>
      <c r="U123" s="46">
        <v>2799.001221</v>
      </c>
      <c r="V123" s="46">
        <v>2799.0571289999998</v>
      </c>
      <c r="W123" s="46">
        <v>2799.1069339999999</v>
      </c>
      <c r="X123" s="46">
        <v>2799.1267090000001</v>
      </c>
      <c r="Y123" s="46">
        <v>2799.1357419999999</v>
      </c>
      <c r="Z123" s="46">
        <v>2799.1420899999998</v>
      </c>
      <c r="AA123" s="46">
        <v>2799.14624</v>
      </c>
      <c r="AB123" s="46">
        <v>2799.1491700000001</v>
      </c>
      <c r="AC123" s="46">
        <v>2799.1511230000001</v>
      </c>
      <c r="AD123" s="46">
        <v>2799.1523440000001</v>
      </c>
      <c r="AE123" s="46">
        <v>2799.1530760000001</v>
      </c>
      <c r="AF123" s="46">
        <v>2799.155029</v>
      </c>
      <c r="AG123" s="46">
        <v>2799.1560060000002</v>
      </c>
      <c r="AH123" s="46">
        <v>2799.157471</v>
      </c>
      <c r="AI123" s="35">
        <v>-3.0829999999999998E-3</v>
      </c>
      <c r="AJ123" s="47"/>
      <c r="AK123" s="37"/>
    </row>
    <row r="124" spans="1:37" ht="15" customHeight="1" x14ac:dyDescent="0.35">
      <c r="A124" s="29" t="s">
        <v>436</v>
      </c>
      <c r="B124" s="33" t="s">
        <v>435</v>
      </c>
      <c r="C124" s="46">
        <v>3167.8234859999998</v>
      </c>
      <c r="D124" s="46">
        <v>3142.9128420000002</v>
      </c>
      <c r="E124" s="46">
        <v>3100.3815920000002</v>
      </c>
      <c r="F124" s="46">
        <v>3042.5664059999999</v>
      </c>
      <c r="G124" s="46">
        <v>3004.1186520000001</v>
      </c>
      <c r="H124" s="46">
        <v>2971.7326659999999</v>
      </c>
      <c r="I124" s="46">
        <v>2884.1364749999998</v>
      </c>
      <c r="J124" s="46">
        <v>2883.9858399999998</v>
      </c>
      <c r="K124" s="46">
        <v>2884.632568</v>
      </c>
      <c r="L124" s="46">
        <v>2885.3015140000002</v>
      </c>
      <c r="M124" s="46">
        <v>2885.9711910000001</v>
      </c>
      <c r="N124" s="46">
        <v>2886.6435550000001</v>
      </c>
      <c r="O124" s="46">
        <v>2887.3164059999999</v>
      </c>
      <c r="P124" s="46">
        <v>2887.994385</v>
      </c>
      <c r="Q124" s="46">
        <v>2888.6203609999998</v>
      </c>
      <c r="R124" s="46">
        <v>2888.7221679999998</v>
      </c>
      <c r="S124" s="46">
        <v>2888.7666020000001</v>
      </c>
      <c r="T124" s="46">
        <v>2888.8166500000002</v>
      </c>
      <c r="U124" s="46">
        <v>2888.8552249999998</v>
      </c>
      <c r="V124" s="46">
        <v>2888.8847660000001</v>
      </c>
      <c r="W124" s="46">
        <v>2888.9067380000001</v>
      </c>
      <c r="X124" s="46">
        <v>2888.9240719999998</v>
      </c>
      <c r="Y124" s="46">
        <v>2888.936768</v>
      </c>
      <c r="Z124" s="46">
        <v>2888.9458009999998</v>
      </c>
      <c r="AA124" s="46">
        <v>2888.9514159999999</v>
      </c>
      <c r="AB124" s="46">
        <v>2888.9553219999998</v>
      </c>
      <c r="AC124" s="46">
        <v>2888.9562989999999</v>
      </c>
      <c r="AD124" s="46">
        <v>2888.9570309999999</v>
      </c>
      <c r="AE124" s="46">
        <v>2888.9570309999999</v>
      </c>
      <c r="AF124" s="46">
        <v>2888.9580080000001</v>
      </c>
      <c r="AG124" s="46">
        <v>2888.9582519999999</v>
      </c>
      <c r="AH124" s="46">
        <v>2888.9567870000001</v>
      </c>
      <c r="AI124" s="35">
        <v>-2.9680000000000002E-3</v>
      </c>
      <c r="AJ124" s="47"/>
      <c r="AK124" s="37"/>
    </row>
    <row r="125" spans="1:37" ht="15" customHeight="1" x14ac:dyDescent="0.35">
      <c r="A125" s="29" t="s">
        <v>434</v>
      </c>
      <c r="B125" s="33" t="s">
        <v>433</v>
      </c>
      <c r="C125" s="46">
        <v>3489.4650879999999</v>
      </c>
      <c r="D125" s="46">
        <v>3462.584961</v>
      </c>
      <c r="E125" s="46">
        <v>3413.9526369999999</v>
      </c>
      <c r="F125" s="46">
        <v>3354.4392090000001</v>
      </c>
      <c r="G125" s="46">
        <v>3293.7004390000002</v>
      </c>
      <c r="H125" s="46">
        <v>3264.02124</v>
      </c>
      <c r="I125" s="46">
        <v>3198.5964359999998</v>
      </c>
      <c r="J125" s="46">
        <v>3198.9516600000002</v>
      </c>
      <c r="K125" s="46">
        <v>3199.1540530000002</v>
      </c>
      <c r="L125" s="46">
        <v>3199.3647460000002</v>
      </c>
      <c r="M125" s="46">
        <v>3199.5913089999999</v>
      </c>
      <c r="N125" s="46">
        <v>3199.8005370000001</v>
      </c>
      <c r="O125" s="46">
        <v>3200.0422359999998</v>
      </c>
      <c r="P125" s="46">
        <v>3200.2634280000002</v>
      </c>
      <c r="Q125" s="46">
        <v>3200.4807129999999</v>
      </c>
      <c r="R125" s="46">
        <v>3200.5651859999998</v>
      </c>
      <c r="S125" s="46">
        <v>3200.6164549999999</v>
      </c>
      <c r="T125" s="46">
        <v>3200.6713869999999</v>
      </c>
      <c r="U125" s="46">
        <v>3200.7136230000001</v>
      </c>
      <c r="V125" s="46">
        <v>3200.7446289999998</v>
      </c>
      <c r="W125" s="46">
        <v>3200.7695309999999</v>
      </c>
      <c r="X125" s="46">
        <v>3200.7861330000001</v>
      </c>
      <c r="Y125" s="46">
        <v>3200.795654</v>
      </c>
      <c r="Z125" s="46">
        <v>3200.8020019999999</v>
      </c>
      <c r="AA125" s="46">
        <v>3200.805664</v>
      </c>
      <c r="AB125" s="46">
        <v>3200.8071289999998</v>
      </c>
      <c r="AC125" s="46">
        <v>3200.804932</v>
      </c>
      <c r="AD125" s="46">
        <v>3200.8041990000002</v>
      </c>
      <c r="AE125" s="46">
        <v>3200.8039549999999</v>
      </c>
      <c r="AF125" s="46">
        <v>3200.796875</v>
      </c>
      <c r="AG125" s="46">
        <v>3200.7922359999998</v>
      </c>
      <c r="AH125" s="46">
        <v>3200.7844239999999</v>
      </c>
      <c r="AI125" s="35">
        <v>-2.7820000000000002E-3</v>
      </c>
      <c r="AJ125" s="47"/>
      <c r="AK125" s="37"/>
    </row>
    <row r="126" spans="1:37" ht="15" customHeight="1" x14ac:dyDescent="0.35">
      <c r="A126" s="29" t="s">
        <v>432</v>
      </c>
      <c r="B126" s="33" t="s">
        <v>431</v>
      </c>
      <c r="C126" s="46">
        <v>3077.2170409999999</v>
      </c>
      <c r="D126" s="46">
        <v>3032.9853520000001</v>
      </c>
      <c r="E126" s="46">
        <v>2977.6064449999999</v>
      </c>
      <c r="F126" s="46">
        <v>2916.3366700000001</v>
      </c>
      <c r="G126" s="46">
        <v>2854.0695799999999</v>
      </c>
      <c r="H126" s="46">
        <v>2848.4243160000001</v>
      </c>
      <c r="I126" s="46">
        <v>2824.4479980000001</v>
      </c>
      <c r="J126" s="46">
        <v>2823.586182</v>
      </c>
      <c r="K126" s="46">
        <v>2823.5444339999999</v>
      </c>
      <c r="L126" s="46">
        <v>2823.758789</v>
      </c>
      <c r="M126" s="46">
        <v>2824.2189939999998</v>
      </c>
      <c r="N126" s="46">
        <v>2824.7604980000001</v>
      </c>
      <c r="O126" s="46">
        <v>2825.3503420000002</v>
      </c>
      <c r="P126" s="46">
        <v>2825.9584960000002</v>
      </c>
      <c r="Q126" s="46">
        <v>2826.7265619999998</v>
      </c>
      <c r="R126" s="46">
        <v>2827.2304690000001</v>
      </c>
      <c r="S126" s="46">
        <v>2827.5473630000001</v>
      </c>
      <c r="T126" s="46">
        <v>2827.5109859999998</v>
      </c>
      <c r="U126" s="46">
        <v>2827.4819339999999</v>
      </c>
      <c r="V126" s="46">
        <v>2827.466797</v>
      </c>
      <c r="W126" s="46">
        <v>2827.429443</v>
      </c>
      <c r="X126" s="46">
        <v>2827.4067380000001</v>
      </c>
      <c r="Y126" s="46">
        <v>2827.3808589999999</v>
      </c>
      <c r="Z126" s="46">
        <v>2827.357422</v>
      </c>
      <c r="AA126" s="46">
        <v>2827.3398440000001</v>
      </c>
      <c r="AB126" s="46">
        <v>2827.3208009999998</v>
      </c>
      <c r="AC126" s="46">
        <v>2827.2578119999998</v>
      </c>
      <c r="AD126" s="46">
        <v>2827.2241210000002</v>
      </c>
      <c r="AE126" s="46">
        <v>2827.1970209999999</v>
      </c>
      <c r="AF126" s="46">
        <v>2827.1291500000002</v>
      </c>
      <c r="AG126" s="46">
        <v>2827.0986330000001</v>
      </c>
      <c r="AH126" s="46">
        <v>2827.0466310000002</v>
      </c>
      <c r="AI126" s="35">
        <v>-2.7320000000000001E-3</v>
      </c>
      <c r="AJ126" s="47"/>
      <c r="AK126" s="37"/>
    </row>
    <row r="127" spans="1:37" ht="15" customHeight="1" x14ac:dyDescent="0.35">
      <c r="A127" s="29" t="s">
        <v>642</v>
      </c>
      <c r="B127" s="33" t="s">
        <v>551</v>
      </c>
      <c r="C127" s="46">
        <v>3298.3666990000002</v>
      </c>
      <c r="D127" s="46">
        <v>3272.7885740000002</v>
      </c>
      <c r="E127" s="46">
        <v>3229.720703</v>
      </c>
      <c r="F127" s="46">
        <v>3171.248047</v>
      </c>
      <c r="G127" s="46">
        <v>3118.2941890000002</v>
      </c>
      <c r="H127" s="46">
        <v>3065.0690920000002</v>
      </c>
      <c r="I127" s="46">
        <v>3000.6052249999998</v>
      </c>
      <c r="J127" s="46">
        <v>3000.7758789999998</v>
      </c>
      <c r="K127" s="46">
        <v>3001.4592290000001</v>
      </c>
      <c r="L127" s="46">
        <v>3002.1367190000001</v>
      </c>
      <c r="M127" s="46">
        <v>3002.8154300000001</v>
      </c>
      <c r="N127" s="46">
        <v>3003.4970699999999</v>
      </c>
      <c r="O127" s="46">
        <v>3004.1791990000002</v>
      </c>
      <c r="P127" s="46">
        <v>3004.796875</v>
      </c>
      <c r="Q127" s="46">
        <v>3005.4436040000001</v>
      </c>
      <c r="R127" s="46">
        <v>3005.5947270000001</v>
      </c>
      <c r="S127" s="46">
        <v>3005.6452640000002</v>
      </c>
      <c r="T127" s="46">
        <v>3005.6997070000002</v>
      </c>
      <c r="U127" s="46">
        <v>3005.741943</v>
      </c>
      <c r="V127" s="46">
        <v>3005.772461</v>
      </c>
      <c r="W127" s="46">
        <v>3005.7973630000001</v>
      </c>
      <c r="X127" s="46">
        <v>3005.8161620000001</v>
      </c>
      <c r="Y127" s="46">
        <v>3005.8295899999998</v>
      </c>
      <c r="Z127" s="46">
        <v>3005.8393550000001</v>
      </c>
      <c r="AA127" s="46">
        <v>3005.845703</v>
      </c>
      <c r="AB127" s="46">
        <v>3005.8498540000001</v>
      </c>
      <c r="AC127" s="46">
        <v>3005.8210450000001</v>
      </c>
      <c r="AD127" s="46">
        <v>3005.8100589999999</v>
      </c>
      <c r="AE127" s="46">
        <v>3005.8010250000002</v>
      </c>
      <c r="AF127" s="46">
        <v>3005.7795409999999</v>
      </c>
      <c r="AG127" s="46">
        <v>3005.7687989999999</v>
      </c>
      <c r="AH127" s="46">
        <v>3005.751953</v>
      </c>
      <c r="AI127" s="35">
        <v>-2.9919999999999999E-3</v>
      </c>
      <c r="AJ127" s="47"/>
      <c r="AK127" s="37"/>
    </row>
    <row r="128" spans="1:37" ht="15" customHeight="1" x14ac:dyDescent="0.35">
      <c r="A128" s="29" t="s">
        <v>643</v>
      </c>
      <c r="B128" s="33" t="s">
        <v>552</v>
      </c>
      <c r="C128" s="46">
        <v>3809.7441410000001</v>
      </c>
      <c r="D128" s="46">
        <v>3770.1142580000001</v>
      </c>
      <c r="E128" s="46">
        <v>3715.0429690000001</v>
      </c>
      <c r="F128" s="46">
        <v>3651.804932</v>
      </c>
      <c r="G128" s="46">
        <v>3595.2973630000001</v>
      </c>
      <c r="H128" s="46">
        <v>3528.828125</v>
      </c>
      <c r="I128" s="46">
        <v>3501.4172359999998</v>
      </c>
      <c r="J128" s="46">
        <v>3501.7795409999999</v>
      </c>
      <c r="K128" s="46">
        <v>3501.9179690000001</v>
      </c>
      <c r="L128" s="46">
        <v>3502.1003420000002</v>
      </c>
      <c r="M128" s="46">
        <v>3502.3239749999998</v>
      </c>
      <c r="N128" s="46">
        <v>3502.5527339999999</v>
      </c>
      <c r="O128" s="46">
        <v>3502.7802729999999</v>
      </c>
      <c r="P128" s="46">
        <v>3503.0356449999999</v>
      </c>
      <c r="Q128" s="46">
        <v>3503.5708009999998</v>
      </c>
      <c r="R128" s="46">
        <v>3503.724365</v>
      </c>
      <c r="S128" s="46">
        <v>3503.7802729999999</v>
      </c>
      <c r="T128" s="46">
        <v>3503.8403320000002</v>
      </c>
      <c r="U128" s="46">
        <v>3503.8869629999999</v>
      </c>
      <c r="V128" s="46">
        <v>3503.9204100000002</v>
      </c>
      <c r="W128" s="46">
        <v>3503.900635</v>
      </c>
      <c r="X128" s="46">
        <v>3503.8835450000001</v>
      </c>
      <c r="Y128" s="46">
        <v>3503.8652339999999</v>
      </c>
      <c r="Z128" s="46">
        <v>3503.843018</v>
      </c>
      <c r="AA128" s="46">
        <v>3503.8251949999999</v>
      </c>
      <c r="AB128" s="46">
        <v>3503.8063959999999</v>
      </c>
      <c r="AC128" s="46">
        <v>3503.6845699999999</v>
      </c>
      <c r="AD128" s="46">
        <v>3503.6271969999998</v>
      </c>
      <c r="AE128" s="46">
        <v>3503.5810550000001</v>
      </c>
      <c r="AF128" s="46">
        <v>3503.4580080000001</v>
      </c>
      <c r="AG128" s="46">
        <v>3503.4047850000002</v>
      </c>
      <c r="AH128" s="46">
        <v>3503.311279</v>
      </c>
      <c r="AI128" s="35">
        <v>-2.7009999999999998E-3</v>
      </c>
      <c r="AJ128" s="47"/>
      <c r="AK128" s="37"/>
    </row>
    <row r="129" spans="1:37" ht="15" customHeight="1" x14ac:dyDescent="0.35">
      <c r="A129" s="29" t="s">
        <v>430</v>
      </c>
      <c r="B129" s="33" t="s">
        <v>429</v>
      </c>
      <c r="C129" s="46">
        <v>3264.5048830000001</v>
      </c>
      <c r="D129" s="46">
        <v>3238.4152829999998</v>
      </c>
      <c r="E129" s="46">
        <v>3190.44751</v>
      </c>
      <c r="F129" s="46">
        <v>3129.67749</v>
      </c>
      <c r="G129" s="46">
        <v>3080.046143</v>
      </c>
      <c r="H129" s="46">
        <v>3042.2473140000002</v>
      </c>
      <c r="I129" s="46">
        <v>2974.9897460000002</v>
      </c>
      <c r="J129" s="46">
        <v>2975.6691890000002</v>
      </c>
      <c r="K129" s="46">
        <v>2976.4902339999999</v>
      </c>
      <c r="L129" s="46">
        <v>2977.626221</v>
      </c>
      <c r="M129" s="46">
        <v>2978.3220209999999</v>
      </c>
      <c r="N129" s="46">
        <v>2978.4807129999999</v>
      </c>
      <c r="O129" s="46">
        <v>2980.2456050000001</v>
      </c>
      <c r="P129" s="46">
        <v>2981.045654</v>
      </c>
      <c r="Q129" s="46">
        <v>2981.6064449999999</v>
      </c>
      <c r="R129" s="46">
        <v>2982.282471</v>
      </c>
      <c r="S129" s="46">
        <v>2982.8002929999998</v>
      </c>
      <c r="T129" s="46">
        <v>2983.0336910000001</v>
      </c>
      <c r="U129" s="46">
        <v>2983.5747070000002</v>
      </c>
      <c r="V129" s="46">
        <v>2983.5493160000001</v>
      </c>
      <c r="W129" s="46">
        <v>2983.7192380000001</v>
      </c>
      <c r="X129" s="46">
        <v>2984.209961</v>
      </c>
      <c r="Y129" s="46">
        <v>2984.2917480000001</v>
      </c>
      <c r="Z129" s="46">
        <v>2984.2158199999999</v>
      </c>
      <c r="AA129" s="46">
        <v>2984.6154790000001</v>
      </c>
      <c r="AB129" s="46">
        <v>2984.7919919999999</v>
      </c>
      <c r="AC129" s="46">
        <v>2984.7783199999999</v>
      </c>
      <c r="AD129" s="46">
        <v>2985.224365</v>
      </c>
      <c r="AE129" s="46">
        <v>2984.923828</v>
      </c>
      <c r="AF129" s="46">
        <v>2985.2138669999999</v>
      </c>
      <c r="AG129" s="46">
        <v>2985.4375</v>
      </c>
      <c r="AH129" s="46">
        <v>2985.6308589999999</v>
      </c>
      <c r="AI129" s="35">
        <v>-2.8760000000000001E-3</v>
      </c>
      <c r="AJ129" s="47"/>
      <c r="AK129" s="37"/>
    </row>
    <row r="131" spans="1:37" ht="15" customHeight="1" x14ac:dyDescent="0.35">
      <c r="A131" s="25"/>
      <c r="B131" s="32" t="s">
        <v>410</v>
      </c>
      <c r="C131" s="25"/>
      <c r="D131" s="25"/>
      <c r="E131" s="25"/>
      <c r="F131" s="25"/>
      <c r="G131" s="25"/>
      <c r="H131" s="25"/>
      <c r="I131" s="25"/>
      <c r="J131" s="25"/>
      <c r="K131" s="25"/>
      <c r="L131" s="25"/>
      <c r="M131" s="25"/>
      <c r="N131" s="25"/>
      <c r="O131" s="25"/>
      <c r="P131" s="25"/>
      <c r="Q131" s="25"/>
      <c r="R131" s="25"/>
      <c r="S131" s="25"/>
      <c r="T131" s="25"/>
      <c r="U131" s="25"/>
      <c r="V131" s="25"/>
      <c r="W131" s="25"/>
      <c r="X131" s="25"/>
      <c r="Y131" s="25"/>
      <c r="Z131" s="25"/>
      <c r="AA131" s="25"/>
      <c r="AB131" s="25"/>
      <c r="AC131" s="25"/>
      <c r="AD131" s="25"/>
      <c r="AE131" s="25"/>
      <c r="AF131" s="25"/>
      <c r="AG131" s="25"/>
      <c r="AH131" s="25"/>
      <c r="AI131" s="25"/>
    </row>
    <row r="132" spans="1:37" ht="15" customHeight="1" x14ac:dyDescent="0.35">
      <c r="A132" s="29" t="s">
        <v>428</v>
      </c>
      <c r="B132" s="33" t="s">
        <v>427</v>
      </c>
      <c r="C132" s="46">
        <v>4004.0927729999999</v>
      </c>
      <c r="D132" s="46">
        <v>3934.8308109999998</v>
      </c>
      <c r="E132" s="46">
        <v>3862.2910160000001</v>
      </c>
      <c r="F132" s="46">
        <v>3736.8232419999999</v>
      </c>
      <c r="G132" s="46">
        <v>3650.2541500000002</v>
      </c>
      <c r="H132" s="46">
        <v>3522.320068</v>
      </c>
      <c r="I132" s="46">
        <v>3434.7148440000001</v>
      </c>
      <c r="J132" s="46">
        <v>3435.0478520000001</v>
      </c>
      <c r="K132" s="46">
        <v>3435.272461</v>
      </c>
      <c r="L132" s="46">
        <v>3435.5180660000001</v>
      </c>
      <c r="M132" s="46">
        <v>3435.7629390000002</v>
      </c>
      <c r="N132" s="46">
        <v>3436.0024410000001</v>
      </c>
      <c r="O132" s="46">
        <v>3436.576172</v>
      </c>
      <c r="P132" s="46">
        <v>3437.1762699999999</v>
      </c>
      <c r="Q132" s="46">
        <v>3437.7758789999998</v>
      </c>
      <c r="R132" s="46">
        <v>3437.8759770000001</v>
      </c>
      <c r="S132" s="46">
        <v>3437.8759770000001</v>
      </c>
      <c r="T132" s="46">
        <v>3437.8759770000001</v>
      </c>
      <c r="U132" s="46">
        <v>3437.8476559999999</v>
      </c>
      <c r="V132" s="46">
        <v>3437.8427729999999</v>
      </c>
      <c r="W132" s="46">
        <v>3437.8139649999998</v>
      </c>
      <c r="X132" s="46">
        <v>3437.794922</v>
      </c>
      <c r="Y132" s="46">
        <v>3437.7758789999998</v>
      </c>
      <c r="Z132" s="46">
        <v>3437.763672</v>
      </c>
      <c r="AA132" s="46">
        <v>3437.7553710000002</v>
      </c>
      <c r="AB132" s="46">
        <v>3437.7470699999999</v>
      </c>
      <c r="AC132" s="46">
        <v>3437.7290039999998</v>
      </c>
      <c r="AD132" s="46">
        <v>3437.7226559999999</v>
      </c>
      <c r="AE132" s="46">
        <v>3437.7172850000002</v>
      </c>
      <c r="AF132" s="46">
        <v>3437.7048340000001</v>
      </c>
      <c r="AG132" s="46">
        <v>3437.6989749999998</v>
      </c>
      <c r="AH132" s="46">
        <v>3437.6896969999998</v>
      </c>
      <c r="AI132" s="35">
        <v>-4.908E-3</v>
      </c>
      <c r="AJ132" s="47"/>
      <c r="AK132" s="37"/>
    </row>
    <row r="133" spans="1:37" ht="15" customHeight="1" x14ac:dyDescent="0.35">
      <c r="A133" s="29" t="s">
        <v>426</v>
      </c>
      <c r="B133" s="33" t="s">
        <v>425</v>
      </c>
      <c r="C133" s="46">
        <v>4672.9418949999999</v>
      </c>
      <c r="D133" s="46">
        <v>4625.4345700000003</v>
      </c>
      <c r="E133" s="46">
        <v>4573.9350590000004</v>
      </c>
      <c r="F133" s="46">
        <v>4481.3344729999999</v>
      </c>
      <c r="G133" s="46">
        <v>4411.876953</v>
      </c>
      <c r="H133" s="46">
        <v>4308.3623049999997</v>
      </c>
      <c r="I133" s="46">
        <v>4236.0561520000001</v>
      </c>
      <c r="J133" s="46">
        <v>4236.6030270000001</v>
      </c>
      <c r="K133" s="46">
        <v>4237.1479490000002</v>
      </c>
      <c r="L133" s="46">
        <v>4237.6938479999999</v>
      </c>
      <c r="M133" s="46">
        <v>4238.2397460000002</v>
      </c>
      <c r="N133" s="46">
        <v>4238.7944340000004</v>
      </c>
      <c r="O133" s="46">
        <v>4239.3969729999999</v>
      </c>
      <c r="P133" s="46">
        <v>4239.9936520000001</v>
      </c>
      <c r="Q133" s="46">
        <v>4240.5776370000003</v>
      </c>
      <c r="R133" s="46">
        <v>4240.6342770000001</v>
      </c>
      <c r="S133" s="46">
        <v>4240.5966799999997</v>
      </c>
      <c r="T133" s="46">
        <v>4240.5634769999997</v>
      </c>
      <c r="U133" s="46">
        <v>4240.5600590000004</v>
      </c>
      <c r="V133" s="46">
        <v>4240.5639650000003</v>
      </c>
      <c r="W133" s="46">
        <v>4240.5561520000001</v>
      </c>
      <c r="X133" s="46">
        <v>4240.5527339999999</v>
      </c>
      <c r="Y133" s="46">
        <v>4240.5502930000002</v>
      </c>
      <c r="Z133" s="46">
        <v>4240.5444340000004</v>
      </c>
      <c r="AA133" s="46">
        <v>4240.5410160000001</v>
      </c>
      <c r="AB133" s="46">
        <v>4240.5351559999999</v>
      </c>
      <c r="AC133" s="46">
        <v>4240.5200199999999</v>
      </c>
      <c r="AD133" s="46">
        <v>4240.5151370000003</v>
      </c>
      <c r="AE133" s="46">
        <v>4240.5107420000004</v>
      </c>
      <c r="AF133" s="46">
        <v>4240.5009769999997</v>
      </c>
      <c r="AG133" s="46">
        <v>4240.4960940000001</v>
      </c>
      <c r="AH133" s="46">
        <v>4240.4892579999996</v>
      </c>
      <c r="AI133" s="35">
        <v>-3.1280000000000001E-3</v>
      </c>
      <c r="AJ133" s="47"/>
      <c r="AK133" s="37"/>
    </row>
    <row r="134" spans="1:37" ht="15" customHeight="1" x14ac:dyDescent="0.35">
      <c r="A134" s="29" t="s">
        <v>424</v>
      </c>
      <c r="B134" s="33" t="s">
        <v>423</v>
      </c>
      <c r="C134" s="46">
        <v>4192.0151370000003</v>
      </c>
      <c r="D134" s="46">
        <v>4152.7612300000001</v>
      </c>
      <c r="E134" s="46">
        <v>4112.9057620000003</v>
      </c>
      <c r="F134" s="46">
        <v>4049.3845209999999</v>
      </c>
      <c r="G134" s="46">
        <v>4002.2873540000001</v>
      </c>
      <c r="H134" s="46">
        <v>3934.4433589999999</v>
      </c>
      <c r="I134" s="46">
        <v>3905.5065920000002</v>
      </c>
      <c r="J134" s="46">
        <v>3905.8237300000001</v>
      </c>
      <c r="K134" s="46">
        <v>3906.0651859999998</v>
      </c>
      <c r="L134" s="46">
        <v>3906.32251</v>
      </c>
      <c r="M134" s="46">
        <v>3906.5791020000001</v>
      </c>
      <c r="N134" s="46">
        <v>3906.8439939999998</v>
      </c>
      <c r="O134" s="46">
        <v>3907.398682</v>
      </c>
      <c r="P134" s="46">
        <v>3907.9516600000002</v>
      </c>
      <c r="Q134" s="46">
        <v>3908.5441890000002</v>
      </c>
      <c r="R134" s="46">
        <v>3908.6440429999998</v>
      </c>
      <c r="S134" s="46">
        <v>3908.5947270000001</v>
      </c>
      <c r="T134" s="46">
        <v>3908.5739749999998</v>
      </c>
      <c r="U134" s="46">
        <v>3908.563721</v>
      </c>
      <c r="V134" s="46">
        <v>3908.5595699999999</v>
      </c>
      <c r="W134" s="46">
        <v>3908.5458979999999</v>
      </c>
      <c r="X134" s="46">
        <v>3908.5378420000002</v>
      </c>
      <c r="Y134" s="46">
        <v>3908.5295409999999</v>
      </c>
      <c r="Z134" s="46">
        <v>3908.5185550000001</v>
      </c>
      <c r="AA134" s="46">
        <v>3908.5095209999999</v>
      </c>
      <c r="AB134" s="46">
        <v>3908.4997560000002</v>
      </c>
      <c r="AC134" s="46">
        <v>3908.4802249999998</v>
      </c>
      <c r="AD134" s="46">
        <v>3908.4736330000001</v>
      </c>
      <c r="AE134" s="46">
        <v>3908.4685060000002</v>
      </c>
      <c r="AF134" s="46">
        <v>3908.4555660000001</v>
      </c>
      <c r="AG134" s="46">
        <v>3908.4477539999998</v>
      </c>
      <c r="AH134" s="46">
        <v>3908.4323730000001</v>
      </c>
      <c r="AI134" s="35">
        <v>-2.2569999999999999E-3</v>
      </c>
      <c r="AJ134" s="47"/>
      <c r="AK134" s="37"/>
    </row>
    <row r="135" spans="1:37" ht="15" customHeight="1" x14ac:dyDescent="0.35">
      <c r="A135" s="29" t="s">
        <v>422</v>
      </c>
      <c r="B135" s="33" t="s">
        <v>421</v>
      </c>
      <c r="C135" s="46">
        <v>4496.7749020000001</v>
      </c>
      <c r="D135" s="46">
        <v>4423.3764650000003</v>
      </c>
      <c r="E135" s="46">
        <v>4341.330078</v>
      </c>
      <c r="F135" s="46">
        <v>4219.3325199999999</v>
      </c>
      <c r="G135" s="46">
        <v>4100.6337890000004</v>
      </c>
      <c r="H135" s="46">
        <v>3997.4960940000001</v>
      </c>
      <c r="I135" s="46">
        <v>3951.5043949999999</v>
      </c>
      <c r="J135" s="46">
        <v>3952.0097660000001</v>
      </c>
      <c r="K135" s="46">
        <v>3952.4965820000002</v>
      </c>
      <c r="L135" s="46">
        <v>3952.9882809999999</v>
      </c>
      <c r="M135" s="46">
        <v>3953.4790039999998</v>
      </c>
      <c r="N135" s="46">
        <v>3953.970703</v>
      </c>
      <c r="O135" s="46">
        <v>3954.5209960000002</v>
      </c>
      <c r="P135" s="46">
        <v>3955.109375</v>
      </c>
      <c r="Q135" s="46">
        <v>3955.7092290000001</v>
      </c>
      <c r="R135" s="46">
        <v>3955.8093260000001</v>
      </c>
      <c r="S135" s="46">
        <v>3955.8039549999999</v>
      </c>
      <c r="T135" s="46">
        <v>3955.7958979999999</v>
      </c>
      <c r="U135" s="46">
        <v>3955.7937010000001</v>
      </c>
      <c r="V135" s="46">
        <v>3955.796143</v>
      </c>
      <c r="W135" s="46">
        <v>3955.7944339999999</v>
      </c>
      <c r="X135" s="46">
        <v>3955.7934570000002</v>
      </c>
      <c r="Y135" s="46">
        <v>3955.7919919999999</v>
      </c>
      <c r="Z135" s="46">
        <v>3955.7895509999998</v>
      </c>
      <c r="AA135" s="46">
        <v>3955.7873540000001</v>
      </c>
      <c r="AB135" s="46">
        <v>3955.7849120000001</v>
      </c>
      <c r="AC135" s="46">
        <v>3955.780029</v>
      </c>
      <c r="AD135" s="46">
        <v>3955.7783199999999</v>
      </c>
      <c r="AE135" s="46">
        <v>3955.7770999999998</v>
      </c>
      <c r="AF135" s="46">
        <v>3955.773682</v>
      </c>
      <c r="AG135" s="46">
        <v>3955.7719729999999</v>
      </c>
      <c r="AH135" s="46">
        <v>3955.7695309999999</v>
      </c>
      <c r="AI135" s="35">
        <v>-4.1260000000000003E-3</v>
      </c>
      <c r="AJ135" s="47"/>
      <c r="AK135" s="37"/>
    </row>
    <row r="136" spans="1:37" ht="15" customHeight="1" x14ac:dyDescent="0.35">
      <c r="A136" s="29" t="s">
        <v>420</v>
      </c>
      <c r="B136" s="33" t="s">
        <v>419</v>
      </c>
      <c r="C136" s="46">
        <v>4146.2631840000004</v>
      </c>
      <c r="D136" s="46">
        <v>4059.51001</v>
      </c>
      <c r="E136" s="46">
        <v>3960.6416020000001</v>
      </c>
      <c r="F136" s="46">
        <v>3810.1960450000001</v>
      </c>
      <c r="G136" s="46">
        <v>3692.5341800000001</v>
      </c>
      <c r="H136" s="46">
        <v>3576.8459469999998</v>
      </c>
      <c r="I136" s="46">
        <v>3526.6311040000001</v>
      </c>
      <c r="J136" s="46">
        <v>3527.0634770000001</v>
      </c>
      <c r="K136" s="46">
        <v>3527.4685060000002</v>
      </c>
      <c r="L136" s="46">
        <v>3527.880615</v>
      </c>
      <c r="M136" s="46">
        <v>3528.2917480000001</v>
      </c>
      <c r="N136" s="46">
        <v>3528.7155760000001</v>
      </c>
      <c r="O136" s="46">
        <v>3529.3156739999999</v>
      </c>
      <c r="P136" s="46">
        <v>3529.9228520000001</v>
      </c>
      <c r="Q136" s="46">
        <v>3530.5336910000001</v>
      </c>
      <c r="R136" s="46">
        <v>3530.616211</v>
      </c>
      <c r="S136" s="46">
        <v>3530.594482</v>
      </c>
      <c r="T136" s="46">
        <v>3530.5786130000001</v>
      </c>
      <c r="U136" s="46">
        <v>3530.578125</v>
      </c>
      <c r="V136" s="46">
        <v>3530.5815429999998</v>
      </c>
      <c r="W136" s="46">
        <v>3530.578125</v>
      </c>
      <c r="X136" s="46">
        <v>3530.5756839999999</v>
      </c>
      <c r="Y136" s="46">
        <v>3530.5729980000001</v>
      </c>
      <c r="Z136" s="46">
        <v>3530.5683589999999</v>
      </c>
      <c r="AA136" s="46">
        <v>3530.564453</v>
      </c>
      <c r="AB136" s="46">
        <v>3530.5595699999999</v>
      </c>
      <c r="AC136" s="46">
        <v>3530.5498050000001</v>
      </c>
      <c r="AD136" s="46">
        <v>3530.546875</v>
      </c>
      <c r="AE136" s="46">
        <v>3530.5444339999999</v>
      </c>
      <c r="AF136" s="46">
        <v>3530.538086</v>
      </c>
      <c r="AG136" s="46">
        <v>3530.5351559999999</v>
      </c>
      <c r="AH136" s="46">
        <v>3530.5307619999999</v>
      </c>
      <c r="AI136" s="35">
        <v>-5.1720000000000004E-3</v>
      </c>
      <c r="AJ136" s="47"/>
      <c r="AK136" s="37"/>
    </row>
    <row r="137" spans="1:37" ht="15" customHeight="1" x14ac:dyDescent="0.35">
      <c r="A137" s="29" t="s">
        <v>418</v>
      </c>
      <c r="B137" s="33" t="s">
        <v>417</v>
      </c>
      <c r="C137" s="46">
        <v>5278.1191410000001</v>
      </c>
      <c r="D137" s="46">
        <v>5215.671875</v>
      </c>
      <c r="E137" s="46">
        <v>5146.673828</v>
      </c>
      <c r="F137" s="46">
        <v>5027.4155270000001</v>
      </c>
      <c r="G137" s="46">
        <v>4936.2631840000004</v>
      </c>
      <c r="H137" s="46">
        <v>4774.2700199999999</v>
      </c>
      <c r="I137" s="46">
        <v>4685.6831050000001</v>
      </c>
      <c r="J137" s="46">
        <v>4686.1997069999998</v>
      </c>
      <c r="K137" s="46">
        <v>4686.7128910000001</v>
      </c>
      <c r="L137" s="46">
        <v>4687.2270509999998</v>
      </c>
      <c r="M137" s="46">
        <v>4687.7407229999999</v>
      </c>
      <c r="N137" s="46">
        <v>4688.2700199999999</v>
      </c>
      <c r="O137" s="46">
        <v>4688.8666990000002</v>
      </c>
      <c r="P137" s="46">
        <v>4689.423828</v>
      </c>
      <c r="Q137" s="46">
        <v>4689.9809569999998</v>
      </c>
      <c r="R137" s="46">
        <v>4690.4174800000001</v>
      </c>
      <c r="S137" s="46">
        <v>4690.3823240000002</v>
      </c>
      <c r="T137" s="46">
        <v>4690.3588870000003</v>
      </c>
      <c r="U137" s="46">
        <v>4690.3388670000004</v>
      </c>
      <c r="V137" s="46">
        <v>4690.3286129999997</v>
      </c>
      <c r="W137" s="46">
        <v>4690.3129879999997</v>
      </c>
      <c r="X137" s="46">
        <v>4690.3017579999996</v>
      </c>
      <c r="Y137" s="46">
        <v>4690.2924800000001</v>
      </c>
      <c r="Z137" s="46">
        <v>4690.2836909999996</v>
      </c>
      <c r="AA137" s="46">
        <v>4690.2763670000004</v>
      </c>
      <c r="AB137" s="46">
        <v>4690.2705079999996</v>
      </c>
      <c r="AC137" s="46">
        <v>4690.2592770000001</v>
      </c>
      <c r="AD137" s="46">
        <v>4690.2558589999999</v>
      </c>
      <c r="AE137" s="46">
        <v>4690.2529299999997</v>
      </c>
      <c r="AF137" s="46">
        <v>4690.2460940000001</v>
      </c>
      <c r="AG137" s="46">
        <v>4690.2426759999998</v>
      </c>
      <c r="AH137" s="46">
        <v>4690.2377930000002</v>
      </c>
      <c r="AI137" s="35">
        <v>-3.8019999999999998E-3</v>
      </c>
      <c r="AJ137" s="47"/>
      <c r="AK137" s="37"/>
    </row>
    <row r="138" spans="1:37" ht="15" customHeight="1" x14ac:dyDescent="0.35">
      <c r="A138" s="29" t="s">
        <v>644</v>
      </c>
      <c r="B138" s="33" t="s">
        <v>551</v>
      </c>
      <c r="C138" s="46">
        <v>3523.0810550000001</v>
      </c>
      <c r="D138" s="46">
        <v>3473.0742190000001</v>
      </c>
      <c r="E138" s="46">
        <v>3418.97876</v>
      </c>
      <c r="F138" s="46">
        <v>3334.4165039999998</v>
      </c>
      <c r="G138" s="46">
        <v>3283.9614259999998</v>
      </c>
      <c r="H138" s="46">
        <v>3225.3344729999999</v>
      </c>
      <c r="I138" s="46">
        <v>3156.6577149999998</v>
      </c>
      <c r="J138" s="46">
        <v>3157.257568</v>
      </c>
      <c r="K138" s="46">
        <v>3157.836182</v>
      </c>
      <c r="L138" s="46">
        <v>3158.4377439999998</v>
      </c>
      <c r="M138" s="46">
        <v>3159.039307</v>
      </c>
      <c r="N138" s="46">
        <v>3159.6408689999998</v>
      </c>
      <c r="O138" s="46">
        <v>3160.242432</v>
      </c>
      <c r="P138" s="46">
        <v>3160.84375</v>
      </c>
      <c r="Q138" s="46">
        <v>3161.4445799999999</v>
      </c>
      <c r="R138" s="46">
        <v>3161.5451659999999</v>
      </c>
      <c r="S138" s="46">
        <v>3161.5458979999999</v>
      </c>
      <c r="T138" s="46">
        <v>3161.5390619999998</v>
      </c>
      <c r="U138" s="46">
        <v>3161.5397950000001</v>
      </c>
      <c r="V138" s="46">
        <v>3161.5429690000001</v>
      </c>
      <c r="W138" s="46">
        <v>3161.5427249999998</v>
      </c>
      <c r="X138" s="46">
        <v>3161.5444339999999</v>
      </c>
      <c r="Y138" s="46">
        <v>3161.5437010000001</v>
      </c>
      <c r="Z138" s="46">
        <v>3161.5429690000001</v>
      </c>
      <c r="AA138" s="46">
        <v>3161.5446780000002</v>
      </c>
      <c r="AB138" s="46">
        <v>3161.5446780000002</v>
      </c>
      <c r="AC138" s="46">
        <v>3161.52124</v>
      </c>
      <c r="AD138" s="46">
        <v>3161.5063479999999</v>
      </c>
      <c r="AE138" s="46">
        <v>3161.4946289999998</v>
      </c>
      <c r="AF138" s="46">
        <v>3161.4660640000002</v>
      </c>
      <c r="AG138" s="46">
        <v>3161.4521479999999</v>
      </c>
      <c r="AH138" s="46">
        <v>3161.4304200000001</v>
      </c>
      <c r="AI138" s="35">
        <v>-3.4880000000000002E-3</v>
      </c>
      <c r="AJ138" s="47"/>
      <c r="AK138" s="37"/>
    </row>
    <row r="139" spans="1:37" ht="15" customHeight="1" x14ac:dyDescent="0.35">
      <c r="A139" s="29" t="s">
        <v>645</v>
      </c>
      <c r="B139" s="33" t="s">
        <v>552</v>
      </c>
      <c r="C139" s="46">
        <v>4246.3041990000002</v>
      </c>
      <c r="D139" s="46">
        <v>4182.748047</v>
      </c>
      <c r="E139" s="46">
        <v>4074.9716800000001</v>
      </c>
      <c r="F139" s="46">
        <v>3986.9323730000001</v>
      </c>
      <c r="G139" s="46">
        <v>3919.4304200000001</v>
      </c>
      <c r="H139" s="46">
        <v>3817.7604980000001</v>
      </c>
      <c r="I139" s="46">
        <v>3770.2114259999998</v>
      </c>
      <c r="J139" s="46">
        <v>3770.2929690000001</v>
      </c>
      <c r="K139" s="46">
        <v>3770.7773440000001</v>
      </c>
      <c r="L139" s="46">
        <v>3771.3774410000001</v>
      </c>
      <c r="M139" s="46">
        <v>3771.977539</v>
      </c>
      <c r="N139" s="46">
        <v>3772.577393</v>
      </c>
      <c r="O139" s="46">
        <v>3773.1772460000002</v>
      </c>
      <c r="P139" s="46">
        <v>3773.7768550000001</v>
      </c>
      <c r="Q139" s="46">
        <v>3774.376953</v>
      </c>
      <c r="R139" s="46">
        <v>3774.4643550000001</v>
      </c>
      <c r="S139" s="46">
        <v>3774.4492190000001</v>
      </c>
      <c r="T139" s="46">
        <v>3774.4179690000001</v>
      </c>
      <c r="U139" s="46">
        <v>3774.3930660000001</v>
      </c>
      <c r="V139" s="46">
        <v>3774.3833009999998</v>
      </c>
      <c r="W139" s="46">
        <v>3774.366211</v>
      </c>
      <c r="X139" s="46">
        <v>3774.3564449999999</v>
      </c>
      <c r="Y139" s="46">
        <v>3774.3510740000002</v>
      </c>
      <c r="Z139" s="46">
        <v>3774.34375</v>
      </c>
      <c r="AA139" s="46">
        <v>3774.3378910000001</v>
      </c>
      <c r="AB139" s="46">
        <v>3774.3320309999999</v>
      </c>
      <c r="AC139" s="46">
        <v>3774.3188479999999</v>
      </c>
      <c r="AD139" s="46">
        <v>3774.314453</v>
      </c>
      <c r="AE139" s="46">
        <v>3774.3110350000002</v>
      </c>
      <c r="AF139" s="46">
        <v>3774.3051759999998</v>
      </c>
      <c r="AG139" s="46">
        <v>3774.3032229999999</v>
      </c>
      <c r="AH139" s="46">
        <v>3774.3000489999999</v>
      </c>
      <c r="AI139" s="35">
        <v>-3.7940000000000001E-3</v>
      </c>
      <c r="AJ139" s="47"/>
      <c r="AK139" s="37"/>
    </row>
    <row r="140" spans="1:37" ht="15" customHeight="1" x14ac:dyDescent="0.35">
      <c r="A140" s="29" t="s">
        <v>416</v>
      </c>
      <c r="B140" s="33" t="s">
        <v>415</v>
      </c>
      <c r="C140" s="46">
        <v>4182.3388670000004</v>
      </c>
      <c r="D140" s="46">
        <v>4128.8632809999999</v>
      </c>
      <c r="E140" s="46">
        <v>4052.0759280000002</v>
      </c>
      <c r="F140" s="46">
        <v>3959.6120609999998</v>
      </c>
      <c r="G140" s="46">
        <v>3891.982422</v>
      </c>
      <c r="H140" s="46">
        <v>3797.2387699999999</v>
      </c>
      <c r="I140" s="46">
        <v>3740.3710940000001</v>
      </c>
      <c r="J140" s="46">
        <v>3739.9731449999999</v>
      </c>
      <c r="K140" s="46">
        <v>3740.7807619999999</v>
      </c>
      <c r="L140" s="46">
        <v>3741.2543949999999</v>
      </c>
      <c r="M140" s="46">
        <v>3742.1689449999999</v>
      </c>
      <c r="N140" s="46">
        <v>3743.4536130000001</v>
      </c>
      <c r="O140" s="46">
        <v>3743.5703119999998</v>
      </c>
      <c r="P140" s="46">
        <v>3744.3256839999999</v>
      </c>
      <c r="Q140" s="46">
        <v>3745.3149410000001</v>
      </c>
      <c r="R140" s="46">
        <v>3745.6416020000001</v>
      </c>
      <c r="S140" s="46">
        <v>3745.555664</v>
      </c>
      <c r="T140" s="46">
        <v>3745.6625979999999</v>
      </c>
      <c r="U140" s="46">
        <v>3745.4379880000001</v>
      </c>
      <c r="V140" s="46">
        <v>3745.7778320000002</v>
      </c>
      <c r="W140" s="46">
        <v>3745.8813479999999</v>
      </c>
      <c r="X140" s="46">
        <v>3745.6376949999999</v>
      </c>
      <c r="Y140" s="46">
        <v>3745.8190920000002</v>
      </c>
      <c r="Z140" s="46">
        <v>3746.1264649999998</v>
      </c>
      <c r="AA140" s="46">
        <v>3745.9438479999999</v>
      </c>
      <c r="AB140" s="46">
        <v>3745.9873050000001</v>
      </c>
      <c r="AC140" s="46">
        <v>3746.1640619999998</v>
      </c>
      <c r="AD140" s="46">
        <v>3745.8896479999999</v>
      </c>
      <c r="AE140" s="46">
        <v>3746.3815920000002</v>
      </c>
      <c r="AF140" s="46">
        <v>3746.2387699999999</v>
      </c>
      <c r="AG140" s="46">
        <v>3746.2021479999999</v>
      </c>
      <c r="AH140" s="46">
        <v>3746.1992190000001</v>
      </c>
      <c r="AI140" s="35">
        <v>-3.5460000000000001E-3</v>
      </c>
      <c r="AJ140" s="47"/>
      <c r="AK140" s="37"/>
    </row>
    <row r="142" spans="1:37" ht="15" customHeight="1" x14ac:dyDescent="0.35">
      <c r="A142" s="25"/>
      <c r="B142" s="32" t="s">
        <v>414</v>
      </c>
      <c r="C142" s="25"/>
      <c r="D142" s="25"/>
      <c r="E142" s="25"/>
      <c r="F142" s="25"/>
      <c r="G142" s="25"/>
      <c r="H142" s="25"/>
      <c r="I142" s="25"/>
      <c r="J142" s="25"/>
      <c r="K142" s="25"/>
      <c r="L142" s="25"/>
      <c r="M142" s="25"/>
      <c r="N142" s="25"/>
      <c r="O142" s="25"/>
      <c r="P142" s="25"/>
      <c r="Q142" s="25"/>
      <c r="R142" s="25"/>
      <c r="S142" s="25"/>
      <c r="T142" s="25"/>
      <c r="U142" s="25"/>
      <c r="V142" s="25"/>
      <c r="W142" s="25"/>
      <c r="X142" s="25"/>
      <c r="Y142" s="25"/>
      <c r="Z142" s="25"/>
      <c r="AA142" s="25"/>
      <c r="AB142" s="25"/>
      <c r="AC142" s="25"/>
      <c r="AD142" s="25"/>
      <c r="AE142" s="25"/>
      <c r="AF142" s="25"/>
      <c r="AG142" s="25"/>
      <c r="AH142" s="25"/>
      <c r="AI142" s="25"/>
    </row>
    <row r="143" spans="1:37" ht="15" customHeight="1" x14ac:dyDescent="0.35">
      <c r="A143" s="29" t="s">
        <v>413</v>
      </c>
      <c r="B143" s="33" t="s">
        <v>412</v>
      </c>
      <c r="C143" s="46">
        <v>3364.40625</v>
      </c>
      <c r="D143" s="46">
        <v>3358.077393</v>
      </c>
      <c r="E143" s="46">
        <v>3349.4978030000002</v>
      </c>
      <c r="F143" s="46">
        <v>3338.1499020000001</v>
      </c>
      <c r="G143" s="46">
        <v>3324.3947750000002</v>
      </c>
      <c r="H143" s="46">
        <v>3308.4794919999999</v>
      </c>
      <c r="I143" s="46">
        <v>3289.0979000000002</v>
      </c>
      <c r="J143" s="46">
        <v>3268.6389159999999</v>
      </c>
      <c r="K143" s="46">
        <v>3247.3413089999999</v>
      </c>
      <c r="L143" s="46">
        <v>3225.4350589999999</v>
      </c>
      <c r="M143" s="46">
        <v>3203.5249020000001</v>
      </c>
      <c r="N143" s="46">
        <v>3181.7685550000001</v>
      </c>
      <c r="O143" s="46">
        <v>3161.0527339999999</v>
      </c>
      <c r="P143" s="46">
        <v>3140.9233399999998</v>
      </c>
      <c r="Q143" s="46">
        <v>3121.4064939999998</v>
      </c>
      <c r="R143" s="46">
        <v>3102.6896969999998</v>
      </c>
      <c r="S143" s="46">
        <v>3086.3012699999999</v>
      </c>
      <c r="T143" s="46">
        <v>3071.241211</v>
      </c>
      <c r="U143" s="46">
        <v>3057.7529300000001</v>
      </c>
      <c r="V143" s="46">
        <v>3046.0280760000001</v>
      </c>
      <c r="W143" s="46">
        <v>3035.9819339999999</v>
      </c>
      <c r="X143" s="46">
        <v>3027.6491700000001</v>
      </c>
      <c r="Y143" s="46">
        <v>3020.7409670000002</v>
      </c>
      <c r="Z143" s="46">
        <v>3015.0959469999998</v>
      </c>
      <c r="AA143" s="46">
        <v>3010.4897460000002</v>
      </c>
      <c r="AB143" s="46">
        <v>3006.7375489999999</v>
      </c>
      <c r="AC143" s="46">
        <v>3003.6437989999999</v>
      </c>
      <c r="AD143" s="46">
        <v>3001.1059570000002</v>
      </c>
      <c r="AE143" s="46">
        <v>2998.9765619999998</v>
      </c>
      <c r="AF143" s="46">
        <v>2997.1721189999998</v>
      </c>
      <c r="AG143" s="46">
        <v>2995.6308589999999</v>
      </c>
      <c r="AH143" s="46">
        <v>2994.290039</v>
      </c>
      <c r="AI143" s="35">
        <v>-3.7520000000000001E-3</v>
      </c>
      <c r="AJ143" s="47"/>
      <c r="AK143" s="37"/>
    </row>
    <row r="144" spans="1:37" ht="15" customHeight="1" x14ac:dyDescent="0.35">
      <c r="A144" s="29" t="s">
        <v>411</v>
      </c>
      <c r="B144" s="33" t="s">
        <v>410</v>
      </c>
      <c r="C144" s="46">
        <v>4487.8896480000003</v>
      </c>
      <c r="D144" s="46">
        <v>4463.3051759999998</v>
      </c>
      <c r="E144" s="46">
        <v>4433.2709960000002</v>
      </c>
      <c r="F144" s="46">
        <v>4398.0244140000004</v>
      </c>
      <c r="G144" s="46">
        <v>4358.982422</v>
      </c>
      <c r="H144" s="46">
        <v>4314.9580079999996</v>
      </c>
      <c r="I144" s="46">
        <v>4268.8266599999997</v>
      </c>
      <c r="J144" s="46">
        <v>4223.4858400000003</v>
      </c>
      <c r="K144" s="46">
        <v>4180.7641599999997</v>
      </c>
      <c r="L144" s="46">
        <v>4140.3046880000002</v>
      </c>
      <c r="M144" s="46">
        <v>4102.689453</v>
      </c>
      <c r="N144" s="46">
        <v>4068.3566890000002</v>
      </c>
      <c r="O144" s="46">
        <v>4036.459961</v>
      </c>
      <c r="P144" s="46">
        <v>4006.3874510000001</v>
      </c>
      <c r="Q144" s="46">
        <v>3980.1357419999999</v>
      </c>
      <c r="R144" s="46">
        <v>3955.9489749999998</v>
      </c>
      <c r="S144" s="46">
        <v>3933.9709469999998</v>
      </c>
      <c r="T144" s="46">
        <v>3914.4709469999998</v>
      </c>
      <c r="U144" s="46">
        <v>3896.95874</v>
      </c>
      <c r="V144" s="46">
        <v>3880.9997560000002</v>
      </c>
      <c r="W144" s="46">
        <v>3866.5588379999999</v>
      </c>
      <c r="X144" s="46">
        <v>3854.0441890000002</v>
      </c>
      <c r="Y144" s="46">
        <v>3842.7297359999998</v>
      </c>
      <c r="Z144" s="46">
        <v>3832.5859380000002</v>
      </c>
      <c r="AA144" s="46">
        <v>3823.803711</v>
      </c>
      <c r="AB144" s="46">
        <v>3816.0197750000002</v>
      </c>
      <c r="AC144" s="46">
        <v>3809.1391600000002</v>
      </c>
      <c r="AD144" s="46">
        <v>3802.9890140000002</v>
      </c>
      <c r="AE144" s="46">
        <v>3797.5031739999999</v>
      </c>
      <c r="AF144" s="46">
        <v>3792.5991210000002</v>
      </c>
      <c r="AG144" s="46">
        <v>3788.1601559999999</v>
      </c>
      <c r="AH144" s="46">
        <v>3784.1584469999998</v>
      </c>
      <c r="AI144" s="35">
        <v>-5.4869999999999997E-3</v>
      </c>
      <c r="AJ144" s="47"/>
      <c r="AK144" s="37"/>
    </row>
    <row r="145" spans="2:37" ht="15" customHeight="1" thickBot="1" x14ac:dyDescent="0.4">
      <c r="B145" s="25"/>
      <c r="C145" s="25"/>
      <c r="D145" s="25"/>
      <c r="E145" s="25"/>
      <c r="F145" s="25"/>
      <c r="G145" s="25"/>
      <c r="H145" s="25"/>
      <c r="I145" s="25"/>
      <c r="J145" s="25"/>
      <c r="K145" s="25"/>
      <c r="L145" s="25"/>
      <c r="M145" s="25"/>
      <c r="N145" s="25"/>
      <c r="O145" s="25"/>
      <c r="P145" s="25"/>
      <c r="Q145" s="25"/>
      <c r="R145" s="25"/>
      <c r="S145" s="25"/>
      <c r="T145" s="25"/>
      <c r="U145" s="25"/>
      <c r="V145" s="25"/>
      <c r="W145" s="25"/>
      <c r="X145" s="25"/>
      <c r="Y145" s="25"/>
      <c r="Z145" s="25"/>
      <c r="AA145" s="25"/>
      <c r="AB145" s="25"/>
      <c r="AC145" s="25"/>
      <c r="AD145" s="25"/>
      <c r="AE145" s="25"/>
      <c r="AF145" s="25"/>
      <c r="AG145" s="25"/>
      <c r="AH145" s="25"/>
      <c r="AI145" s="25"/>
    </row>
    <row r="146" spans="2:37" ht="15" customHeight="1" x14ac:dyDescent="0.35">
      <c r="B146" s="197" t="s">
        <v>554</v>
      </c>
      <c r="C146" s="197"/>
      <c r="D146" s="197"/>
      <c r="E146" s="197"/>
      <c r="F146" s="197"/>
      <c r="G146" s="197"/>
      <c r="H146" s="197"/>
      <c r="I146" s="197"/>
      <c r="J146" s="197"/>
      <c r="K146" s="197"/>
      <c r="L146" s="197"/>
      <c r="M146" s="197"/>
      <c r="N146" s="197"/>
      <c r="O146" s="197"/>
      <c r="P146" s="197"/>
      <c r="Q146" s="197"/>
      <c r="R146" s="197"/>
      <c r="S146" s="197"/>
      <c r="T146" s="197"/>
      <c r="U146" s="197"/>
      <c r="V146" s="197"/>
      <c r="W146" s="197"/>
      <c r="X146" s="197"/>
      <c r="Y146" s="197"/>
      <c r="Z146" s="197"/>
      <c r="AA146" s="197"/>
      <c r="AB146" s="197"/>
      <c r="AC146" s="197"/>
      <c r="AD146" s="197"/>
      <c r="AE146" s="197"/>
      <c r="AF146" s="197"/>
      <c r="AG146" s="197"/>
      <c r="AH146" s="197"/>
      <c r="AI146" s="197"/>
      <c r="AJ146" s="48"/>
      <c r="AK146" s="48"/>
    </row>
    <row r="147" spans="2:37" ht="15" customHeight="1" x14ac:dyDescent="0.35">
      <c r="B147" s="42" t="s">
        <v>555</v>
      </c>
      <c r="C147" s="25"/>
      <c r="D147" s="25"/>
      <c r="E147" s="25"/>
      <c r="F147" s="25"/>
      <c r="G147" s="25"/>
      <c r="H147" s="25"/>
      <c r="I147" s="25"/>
      <c r="J147" s="25"/>
      <c r="K147" s="25"/>
      <c r="L147" s="25"/>
      <c r="M147" s="25"/>
      <c r="N147" s="25"/>
      <c r="O147" s="25"/>
      <c r="P147" s="25"/>
      <c r="Q147" s="25"/>
      <c r="R147" s="25"/>
      <c r="S147" s="25"/>
      <c r="T147" s="25"/>
      <c r="U147" s="25"/>
      <c r="V147" s="25"/>
      <c r="W147" s="25"/>
      <c r="X147" s="25"/>
      <c r="Y147" s="25"/>
      <c r="Z147" s="25"/>
      <c r="AA147" s="25"/>
      <c r="AB147" s="25"/>
      <c r="AC147" s="25"/>
      <c r="AD147" s="25"/>
      <c r="AE147" s="25"/>
      <c r="AF147" s="25"/>
      <c r="AG147" s="25"/>
      <c r="AH147" s="25"/>
      <c r="AI147" s="25"/>
    </row>
    <row r="148" spans="2:37" ht="15" customHeight="1" x14ac:dyDescent="0.35">
      <c r="B148" s="42" t="s">
        <v>624</v>
      </c>
      <c r="C148" s="25"/>
      <c r="D148" s="25"/>
      <c r="E148" s="25"/>
      <c r="F148" s="25"/>
      <c r="G148" s="25"/>
      <c r="H148" s="25"/>
      <c r="I148" s="25"/>
      <c r="J148" s="25"/>
      <c r="K148" s="25"/>
      <c r="L148" s="25"/>
      <c r="M148" s="25"/>
      <c r="N148" s="25"/>
      <c r="O148" s="25"/>
      <c r="P148" s="25"/>
      <c r="Q148" s="25"/>
      <c r="R148" s="25"/>
      <c r="S148" s="25"/>
      <c r="T148" s="25"/>
      <c r="U148" s="25"/>
      <c r="V148" s="25"/>
      <c r="W148" s="25"/>
      <c r="X148" s="25"/>
      <c r="Y148" s="25"/>
      <c r="Z148" s="25"/>
      <c r="AA148" s="25"/>
      <c r="AB148" s="25"/>
      <c r="AC148" s="25"/>
      <c r="AD148" s="25"/>
      <c r="AE148" s="25"/>
      <c r="AF148" s="25"/>
      <c r="AG148" s="25"/>
      <c r="AH148" s="25"/>
      <c r="AI148" s="25"/>
    </row>
    <row r="149" spans="2:37" ht="15" customHeight="1" x14ac:dyDescent="0.35">
      <c r="B149" s="20"/>
    </row>
    <row r="150" spans="2:37" ht="15" customHeight="1" x14ac:dyDescent="0.35">
      <c r="B150" s="20"/>
    </row>
    <row r="151" spans="2:37" ht="15" customHeight="1" x14ac:dyDescent="0.35">
      <c r="B151" s="20"/>
    </row>
  </sheetData>
  <mergeCells count="1">
    <mergeCell ref="B146:AI146"/>
  </mergeCells>
  <pageMargins left="0.75" right="0.75" top="1" bottom="1" header="0.5" footer="0.5"/>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15"/>
  <dimension ref="A1:AI308"/>
  <sheetViews>
    <sheetView workbookViewId="0">
      <pane xSplit="2" ySplit="1" topLeftCell="C222" activePane="bottomRight" state="frozen"/>
      <selection pane="topRight" activeCell="C1" sqref="C1"/>
      <selection pane="bottomLeft" activeCell="A2" sqref="A2"/>
      <selection pane="bottomRight" activeCell="A215" sqref="A215:C215"/>
    </sheetView>
  </sheetViews>
  <sheetFormatPr defaultRowHeight="15" customHeight="1" x14ac:dyDescent="0.35"/>
  <cols>
    <col min="2" max="2" width="10.90625" customWidth="1"/>
  </cols>
  <sheetData>
    <row r="1" spans="1:35" ht="15" customHeight="1" thickBot="1" x14ac:dyDescent="0.4">
      <c r="A1" s="25"/>
      <c r="B1" s="26" t="s">
        <v>570</v>
      </c>
      <c r="C1" s="27">
        <v>2019</v>
      </c>
      <c r="D1" s="27">
        <v>2020</v>
      </c>
      <c r="E1" s="27">
        <v>2021</v>
      </c>
      <c r="F1" s="27">
        <v>2022</v>
      </c>
      <c r="G1" s="27">
        <v>2023</v>
      </c>
      <c r="H1" s="27">
        <v>2024</v>
      </c>
      <c r="I1" s="27">
        <v>2025</v>
      </c>
      <c r="J1" s="27">
        <v>2026</v>
      </c>
      <c r="K1" s="27">
        <v>2027</v>
      </c>
      <c r="L1" s="27">
        <v>2028</v>
      </c>
      <c r="M1" s="27">
        <v>2029</v>
      </c>
      <c r="N1" s="27">
        <v>2030</v>
      </c>
      <c r="O1" s="27">
        <v>2031</v>
      </c>
      <c r="P1" s="27">
        <v>2032</v>
      </c>
      <c r="Q1" s="27">
        <v>2033</v>
      </c>
      <c r="R1" s="27">
        <v>2034</v>
      </c>
      <c r="S1" s="27">
        <v>2035</v>
      </c>
      <c r="T1" s="27">
        <v>2036</v>
      </c>
      <c r="U1" s="27">
        <v>2037</v>
      </c>
      <c r="V1" s="27">
        <v>2038</v>
      </c>
      <c r="W1" s="27">
        <v>2039</v>
      </c>
      <c r="X1" s="27">
        <v>2040</v>
      </c>
      <c r="Y1" s="27">
        <v>2041</v>
      </c>
      <c r="Z1" s="27">
        <v>2042</v>
      </c>
      <c r="AA1" s="27">
        <v>2043</v>
      </c>
      <c r="AB1" s="27">
        <v>2044</v>
      </c>
      <c r="AC1" s="27">
        <v>2045</v>
      </c>
      <c r="AD1" s="27">
        <v>2046</v>
      </c>
      <c r="AE1" s="27">
        <v>2047</v>
      </c>
      <c r="AF1" s="27">
        <v>2048</v>
      </c>
      <c r="AG1" s="27">
        <v>2049</v>
      </c>
      <c r="AH1" s="27">
        <v>2050</v>
      </c>
      <c r="AI1" s="25"/>
    </row>
    <row r="2" spans="1:35" ht="15" customHeight="1" thickTop="1" x14ac:dyDescent="0.35">
      <c r="A2" s="25"/>
      <c r="B2" s="25"/>
      <c r="C2" s="25"/>
      <c r="D2" s="25"/>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row>
    <row r="3" spans="1:35" ht="15" customHeight="1" x14ac:dyDescent="0.35">
      <c r="A3" s="25"/>
      <c r="B3" s="25"/>
      <c r="C3" s="28" t="s">
        <v>18</v>
      </c>
      <c r="D3" s="28" t="s">
        <v>571</v>
      </c>
      <c r="E3" s="28"/>
      <c r="F3" s="28"/>
      <c r="G3" s="28"/>
      <c r="H3" s="28"/>
      <c r="I3" s="25"/>
      <c r="J3" s="25"/>
      <c r="K3" s="25"/>
      <c r="L3" s="25"/>
      <c r="M3" s="25"/>
      <c r="N3" s="25"/>
      <c r="O3" s="25"/>
      <c r="P3" s="25"/>
      <c r="Q3" s="25"/>
      <c r="R3" s="25"/>
      <c r="S3" s="25"/>
      <c r="T3" s="25"/>
      <c r="U3" s="25"/>
      <c r="V3" s="25"/>
      <c r="W3" s="25"/>
      <c r="X3" s="25"/>
      <c r="Y3" s="25"/>
      <c r="Z3" s="25"/>
      <c r="AA3" s="25"/>
      <c r="AB3" s="25"/>
      <c r="AC3" s="25"/>
      <c r="AD3" s="25"/>
      <c r="AE3" s="25"/>
      <c r="AF3" s="25"/>
      <c r="AG3" s="25"/>
      <c r="AH3" s="25"/>
      <c r="AI3" s="25"/>
    </row>
    <row r="4" spans="1:35" ht="15" customHeight="1" x14ac:dyDescent="0.35">
      <c r="A4" s="25"/>
      <c r="B4" s="25"/>
      <c r="C4" s="28" t="s">
        <v>17</v>
      </c>
      <c r="D4" s="28" t="s">
        <v>572</v>
      </c>
      <c r="E4" s="28"/>
      <c r="F4" s="28"/>
      <c r="G4" s="28" t="s">
        <v>16</v>
      </c>
      <c r="H4" s="28"/>
      <c r="I4" s="25"/>
      <c r="J4" s="25"/>
      <c r="K4" s="25"/>
      <c r="L4" s="25"/>
      <c r="M4" s="25"/>
      <c r="N4" s="25"/>
      <c r="O4" s="25"/>
      <c r="P4" s="25"/>
      <c r="Q4" s="25"/>
      <c r="R4" s="25"/>
      <c r="S4" s="25"/>
      <c r="T4" s="25"/>
      <c r="U4" s="25"/>
      <c r="V4" s="25"/>
      <c r="W4" s="25"/>
      <c r="X4" s="25"/>
      <c r="Y4" s="25"/>
      <c r="Z4" s="25"/>
      <c r="AA4" s="25"/>
      <c r="AB4" s="25"/>
      <c r="AC4" s="25"/>
      <c r="AD4" s="25"/>
      <c r="AE4" s="25"/>
      <c r="AF4" s="25"/>
      <c r="AG4" s="25"/>
      <c r="AH4" s="25"/>
      <c r="AI4" s="25"/>
    </row>
    <row r="5" spans="1:35" ht="15" customHeight="1" x14ac:dyDescent="0.35">
      <c r="A5" s="25"/>
      <c r="B5" s="25"/>
      <c r="C5" s="28" t="s">
        <v>15</v>
      </c>
      <c r="D5" s="28" t="s">
        <v>573</v>
      </c>
      <c r="E5" s="28"/>
      <c r="F5" s="28"/>
      <c r="G5" s="28"/>
      <c r="H5" s="28"/>
      <c r="I5" s="25"/>
      <c r="J5" s="25"/>
      <c r="K5" s="25"/>
      <c r="L5" s="25"/>
      <c r="M5" s="25"/>
      <c r="N5" s="25"/>
      <c r="O5" s="25"/>
      <c r="P5" s="25"/>
      <c r="Q5" s="25"/>
      <c r="R5" s="25"/>
      <c r="S5" s="25"/>
      <c r="T5" s="25"/>
      <c r="U5" s="25"/>
      <c r="V5" s="25"/>
      <c r="W5" s="25"/>
      <c r="X5" s="25"/>
      <c r="Y5" s="25"/>
      <c r="Z5" s="25"/>
      <c r="AA5" s="25"/>
      <c r="AB5" s="25"/>
      <c r="AC5" s="25"/>
      <c r="AD5" s="25"/>
      <c r="AE5" s="25"/>
      <c r="AF5" s="25"/>
      <c r="AG5" s="25"/>
      <c r="AH5" s="25"/>
      <c r="AI5" s="25"/>
    </row>
    <row r="6" spans="1:35" ht="15" customHeight="1" x14ac:dyDescent="0.35">
      <c r="A6" s="25"/>
      <c r="B6" s="25"/>
      <c r="C6" s="28" t="s">
        <v>14</v>
      </c>
      <c r="D6" s="28"/>
      <c r="E6" s="28" t="s">
        <v>574</v>
      </c>
      <c r="F6" s="28"/>
      <c r="G6" s="28"/>
      <c r="H6" s="28"/>
      <c r="I6" s="25"/>
      <c r="J6" s="25"/>
      <c r="K6" s="25"/>
      <c r="L6" s="25"/>
      <c r="M6" s="25"/>
      <c r="N6" s="25"/>
      <c r="O6" s="25"/>
      <c r="P6" s="25"/>
      <c r="Q6" s="25"/>
      <c r="R6" s="25"/>
      <c r="S6" s="25"/>
      <c r="T6" s="25"/>
      <c r="U6" s="25"/>
      <c r="V6" s="25"/>
      <c r="W6" s="25"/>
      <c r="X6" s="25"/>
      <c r="Y6" s="25"/>
      <c r="Z6" s="25"/>
      <c r="AA6" s="25"/>
      <c r="AB6" s="25"/>
      <c r="AC6" s="25"/>
      <c r="AD6" s="25"/>
      <c r="AE6" s="25"/>
      <c r="AF6" s="25"/>
      <c r="AG6" s="25"/>
      <c r="AH6" s="25"/>
      <c r="AI6" s="25"/>
    </row>
    <row r="10" spans="1:35" ht="15" customHeight="1" x14ac:dyDescent="0.35">
      <c r="A10" s="29" t="s">
        <v>252</v>
      </c>
      <c r="B10" s="30" t="s">
        <v>646</v>
      </c>
      <c r="C10" s="25"/>
      <c r="D10" s="25"/>
      <c r="E10" s="25"/>
      <c r="F10" s="25"/>
      <c r="G10" s="25"/>
      <c r="H10" s="25"/>
      <c r="I10" s="25"/>
      <c r="J10" s="25"/>
      <c r="K10" s="25"/>
      <c r="L10" s="25"/>
      <c r="M10" s="25"/>
      <c r="N10" s="25"/>
      <c r="O10" s="25"/>
      <c r="P10" s="25"/>
      <c r="Q10" s="25"/>
      <c r="R10" s="25"/>
      <c r="S10" s="25"/>
      <c r="T10" s="25"/>
      <c r="U10" s="25"/>
      <c r="V10" s="25"/>
      <c r="W10" s="25"/>
      <c r="X10" s="25"/>
      <c r="Y10" s="25"/>
      <c r="Z10" s="25"/>
      <c r="AA10" s="25"/>
      <c r="AB10" s="25"/>
      <c r="AC10" s="25"/>
      <c r="AD10" s="25"/>
      <c r="AE10" s="25"/>
      <c r="AF10" s="25"/>
      <c r="AG10" s="25"/>
      <c r="AH10" s="25"/>
      <c r="AI10" s="25"/>
    </row>
    <row r="11" spans="1:35" ht="15" customHeight="1" x14ac:dyDescent="0.35">
      <c r="A11" s="25"/>
      <c r="B11" s="26" t="s">
        <v>647</v>
      </c>
      <c r="C11" s="25"/>
      <c r="D11" s="25"/>
      <c r="E11" s="25"/>
      <c r="F11" s="25"/>
      <c r="G11" s="25"/>
      <c r="H11" s="25"/>
      <c r="I11" s="25"/>
      <c r="J11" s="25"/>
      <c r="K11" s="25"/>
      <c r="L11" s="25"/>
      <c r="M11" s="25"/>
      <c r="N11" s="25"/>
      <c r="O11" s="25"/>
      <c r="P11" s="25"/>
      <c r="Q11" s="25"/>
      <c r="R11" s="25"/>
      <c r="S11" s="25"/>
      <c r="T11" s="25"/>
      <c r="U11" s="25"/>
      <c r="V11" s="25"/>
      <c r="W11" s="25"/>
      <c r="X11" s="25"/>
      <c r="Y11" s="25"/>
      <c r="Z11" s="25"/>
      <c r="AA11" s="25"/>
      <c r="AB11" s="25"/>
      <c r="AC11" s="25"/>
      <c r="AD11" s="25"/>
      <c r="AE11" s="25"/>
      <c r="AF11" s="25"/>
      <c r="AG11" s="25"/>
      <c r="AH11" s="25"/>
      <c r="AI11" s="25"/>
    </row>
    <row r="12" spans="1:35" ht="15" customHeight="1" x14ac:dyDescent="0.35">
      <c r="A12" s="25"/>
      <c r="B12" s="26" t="s">
        <v>13</v>
      </c>
      <c r="C12" s="31" t="s">
        <v>13</v>
      </c>
      <c r="D12" s="31" t="s">
        <v>13</v>
      </c>
      <c r="E12" s="31" t="s">
        <v>13</v>
      </c>
      <c r="F12" s="31" t="s">
        <v>13</v>
      </c>
      <c r="G12" s="31" t="s">
        <v>13</v>
      </c>
      <c r="H12" s="31" t="s">
        <v>13</v>
      </c>
      <c r="I12" s="31" t="s">
        <v>13</v>
      </c>
      <c r="J12" s="31" t="s">
        <v>13</v>
      </c>
      <c r="K12" s="31" t="s">
        <v>13</v>
      </c>
      <c r="L12" s="31" t="s">
        <v>13</v>
      </c>
      <c r="M12" s="31" t="s">
        <v>13</v>
      </c>
      <c r="N12" s="31" t="s">
        <v>13</v>
      </c>
      <c r="O12" s="31" t="s">
        <v>13</v>
      </c>
      <c r="P12" s="31" t="s">
        <v>13</v>
      </c>
      <c r="Q12" s="31" t="s">
        <v>13</v>
      </c>
      <c r="R12" s="31" t="s">
        <v>13</v>
      </c>
      <c r="S12" s="31" t="s">
        <v>13</v>
      </c>
      <c r="T12" s="31" t="s">
        <v>13</v>
      </c>
      <c r="U12" s="31" t="s">
        <v>13</v>
      </c>
      <c r="V12" s="31" t="s">
        <v>13</v>
      </c>
      <c r="W12" s="31" t="s">
        <v>13</v>
      </c>
      <c r="X12" s="31" t="s">
        <v>13</v>
      </c>
      <c r="Y12" s="31" t="s">
        <v>13</v>
      </c>
      <c r="Z12" s="31" t="s">
        <v>13</v>
      </c>
      <c r="AA12" s="31" t="s">
        <v>13</v>
      </c>
      <c r="AB12" s="31" t="s">
        <v>13</v>
      </c>
      <c r="AC12" s="31" t="s">
        <v>13</v>
      </c>
      <c r="AD12" s="31" t="s">
        <v>13</v>
      </c>
      <c r="AE12" s="31" t="s">
        <v>13</v>
      </c>
      <c r="AF12" s="31" t="s">
        <v>13</v>
      </c>
      <c r="AG12" s="31" t="s">
        <v>13</v>
      </c>
      <c r="AH12" s="31" t="s">
        <v>13</v>
      </c>
      <c r="AI12" s="31" t="s">
        <v>578</v>
      </c>
    </row>
    <row r="13" spans="1:35" ht="15" customHeight="1" thickBot="1" x14ac:dyDescent="0.4">
      <c r="A13" s="25"/>
      <c r="B13" s="27" t="s">
        <v>13</v>
      </c>
      <c r="C13" s="27">
        <v>2019</v>
      </c>
      <c r="D13" s="27">
        <v>2020</v>
      </c>
      <c r="E13" s="27">
        <v>2021</v>
      </c>
      <c r="F13" s="27">
        <v>2022</v>
      </c>
      <c r="G13" s="27">
        <v>2023</v>
      </c>
      <c r="H13" s="27">
        <v>2024</v>
      </c>
      <c r="I13" s="27">
        <v>2025</v>
      </c>
      <c r="J13" s="27">
        <v>2026</v>
      </c>
      <c r="K13" s="27">
        <v>2027</v>
      </c>
      <c r="L13" s="27">
        <v>2028</v>
      </c>
      <c r="M13" s="27">
        <v>2029</v>
      </c>
      <c r="N13" s="27">
        <v>2030</v>
      </c>
      <c r="O13" s="27">
        <v>2031</v>
      </c>
      <c r="P13" s="27">
        <v>2032</v>
      </c>
      <c r="Q13" s="27">
        <v>2033</v>
      </c>
      <c r="R13" s="27">
        <v>2034</v>
      </c>
      <c r="S13" s="27">
        <v>2035</v>
      </c>
      <c r="T13" s="27">
        <v>2036</v>
      </c>
      <c r="U13" s="27">
        <v>2037</v>
      </c>
      <c r="V13" s="27">
        <v>2038</v>
      </c>
      <c r="W13" s="27">
        <v>2039</v>
      </c>
      <c r="X13" s="27">
        <v>2040</v>
      </c>
      <c r="Y13" s="27">
        <v>2041</v>
      </c>
      <c r="Z13" s="27">
        <v>2042</v>
      </c>
      <c r="AA13" s="27">
        <v>2043</v>
      </c>
      <c r="AB13" s="27">
        <v>2044</v>
      </c>
      <c r="AC13" s="27">
        <v>2045</v>
      </c>
      <c r="AD13" s="27">
        <v>2046</v>
      </c>
      <c r="AE13" s="27">
        <v>2047</v>
      </c>
      <c r="AF13" s="27">
        <v>2048</v>
      </c>
      <c r="AG13" s="27">
        <v>2049</v>
      </c>
      <c r="AH13" s="27">
        <v>2050</v>
      </c>
      <c r="AI13" s="27">
        <v>2050</v>
      </c>
    </row>
    <row r="14" spans="1:35" ht="15" customHeight="1" thickTop="1" x14ac:dyDescent="0.35">
      <c r="A14" s="25"/>
      <c r="B14" s="25"/>
      <c r="C14" s="25"/>
      <c r="D14" s="25"/>
      <c r="E14" s="25"/>
      <c r="F14" s="25"/>
      <c r="G14" s="25"/>
      <c r="H14" s="25"/>
      <c r="I14" s="25"/>
      <c r="J14" s="25"/>
      <c r="K14" s="25"/>
      <c r="L14" s="25"/>
      <c r="M14" s="25"/>
      <c r="N14" s="25"/>
      <c r="O14" s="25"/>
      <c r="P14" s="25"/>
      <c r="Q14" s="25"/>
      <c r="R14" s="25"/>
      <c r="S14" s="25"/>
      <c r="T14" s="25"/>
      <c r="U14" s="25"/>
      <c r="V14" s="25"/>
      <c r="W14" s="25"/>
      <c r="X14" s="25"/>
      <c r="Y14" s="25"/>
      <c r="Z14" s="25"/>
      <c r="AA14" s="25"/>
      <c r="AB14" s="25"/>
      <c r="AC14" s="25"/>
      <c r="AD14" s="25"/>
      <c r="AE14" s="25"/>
      <c r="AF14" s="25"/>
      <c r="AG14" s="25"/>
      <c r="AH14" s="25"/>
      <c r="AI14" s="25"/>
    </row>
    <row r="15" spans="1:35" ht="15" customHeight="1" x14ac:dyDescent="0.35">
      <c r="A15" s="25"/>
      <c r="B15" s="32" t="s">
        <v>251</v>
      </c>
      <c r="C15" s="25"/>
      <c r="D15" s="25"/>
      <c r="E15" s="25"/>
      <c r="F15" s="25"/>
      <c r="G15" s="25"/>
      <c r="H15" s="25"/>
      <c r="I15" s="25"/>
      <c r="J15" s="25"/>
      <c r="K15" s="25"/>
      <c r="L15" s="25"/>
      <c r="M15" s="25"/>
      <c r="N15" s="25"/>
      <c r="O15" s="25"/>
      <c r="P15" s="25"/>
      <c r="Q15" s="25"/>
      <c r="R15" s="25"/>
      <c r="S15" s="25"/>
      <c r="T15" s="25"/>
      <c r="U15" s="25"/>
      <c r="V15" s="25"/>
      <c r="W15" s="25"/>
      <c r="X15" s="25"/>
      <c r="Y15" s="25"/>
      <c r="Z15" s="25"/>
      <c r="AA15" s="25"/>
      <c r="AB15" s="25"/>
      <c r="AC15" s="25"/>
      <c r="AD15" s="25"/>
      <c r="AE15" s="25"/>
      <c r="AF15" s="25"/>
      <c r="AG15" s="25"/>
      <c r="AH15" s="25"/>
      <c r="AI15" s="25"/>
    </row>
    <row r="16" spans="1:35" ht="15" customHeight="1" x14ac:dyDescent="0.35">
      <c r="A16" s="29" t="s">
        <v>250</v>
      </c>
      <c r="B16" s="33" t="s">
        <v>55</v>
      </c>
      <c r="C16" s="43">
        <v>76.875038000000004</v>
      </c>
      <c r="D16" s="43">
        <v>77.389809</v>
      </c>
      <c r="E16" s="43">
        <v>77.807152000000002</v>
      </c>
      <c r="F16" s="43">
        <v>78.159263999999993</v>
      </c>
      <c r="G16" s="43">
        <v>78.563545000000005</v>
      </c>
      <c r="H16" s="43">
        <v>78.744941999999995</v>
      </c>
      <c r="I16" s="43">
        <v>79.012778999999995</v>
      </c>
      <c r="J16" s="43">
        <v>79.111153000000002</v>
      </c>
      <c r="K16" s="43">
        <v>79.212303000000006</v>
      </c>
      <c r="L16" s="43">
        <v>79.313118000000003</v>
      </c>
      <c r="M16" s="43">
        <v>79.411179000000004</v>
      </c>
      <c r="N16" s="43">
        <v>79.504951000000005</v>
      </c>
      <c r="O16" s="43">
        <v>79.601157999999998</v>
      </c>
      <c r="P16" s="43">
        <v>79.697288999999998</v>
      </c>
      <c r="Q16" s="43">
        <v>79.791259999999994</v>
      </c>
      <c r="R16" s="43">
        <v>79.821387999999999</v>
      </c>
      <c r="S16" s="43">
        <v>79.839066000000003</v>
      </c>
      <c r="T16" s="43">
        <v>79.855766000000003</v>
      </c>
      <c r="U16" s="43">
        <v>79.874352000000002</v>
      </c>
      <c r="V16" s="43">
        <v>79.891486999999998</v>
      </c>
      <c r="W16" s="43">
        <v>79.908851999999996</v>
      </c>
      <c r="X16" s="43">
        <v>79.928122999999999</v>
      </c>
      <c r="Y16" s="43">
        <v>79.946708999999998</v>
      </c>
      <c r="Z16" s="43">
        <v>79.963813999999999</v>
      </c>
      <c r="AA16" s="43">
        <v>79.982178000000005</v>
      </c>
      <c r="AB16" s="43">
        <v>80.000450000000001</v>
      </c>
      <c r="AC16" s="43">
        <v>80.018974</v>
      </c>
      <c r="AD16" s="43">
        <v>80.038619999999995</v>
      </c>
      <c r="AE16" s="43">
        <v>80.055396999999999</v>
      </c>
      <c r="AF16" s="43">
        <v>80.073830000000001</v>
      </c>
      <c r="AG16" s="43">
        <v>80.091742999999994</v>
      </c>
      <c r="AH16" s="43">
        <v>80.103927999999996</v>
      </c>
      <c r="AI16" s="35">
        <v>1.328E-3</v>
      </c>
    </row>
    <row r="17" spans="1:35" ht="15" customHeight="1" x14ac:dyDescent="0.35">
      <c r="A17" s="29" t="s">
        <v>249</v>
      </c>
      <c r="B17" s="33" t="s">
        <v>53</v>
      </c>
      <c r="C17" s="43">
        <v>40.670394999999999</v>
      </c>
      <c r="D17" s="43">
        <v>41.248215000000002</v>
      </c>
      <c r="E17" s="43">
        <v>41.845661</v>
      </c>
      <c r="F17" s="43">
        <v>42.415576999999999</v>
      </c>
      <c r="G17" s="43">
        <v>42.801806999999997</v>
      </c>
      <c r="H17" s="43">
        <v>43.002200999999999</v>
      </c>
      <c r="I17" s="43">
        <v>43.283206999999997</v>
      </c>
      <c r="J17" s="43">
        <v>43.404342999999997</v>
      </c>
      <c r="K17" s="43">
        <v>43.505412999999997</v>
      </c>
      <c r="L17" s="43">
        <v>43.609591999999999</v>
      </c>
      <c r="M17" s="43">
        <v>43.713042999999999</v>
      </c>
      <c r="N17" s="43">
        <v>43.810313999999998</v>
      </c>
      <c r="O17" s="43">
        <v>43.913753999999997</v>
      </c>
      <c r="P17" s="43">
        <v>44.016280999999999</v>
      </c>
      <c r="Q17" s="43">
        <v>44.114387999999998</v>
      </c>
      <c r="R17" s="43">
        <v>44.151027999999997</v>
      </c>
      <c r="S17" s="43">
        <v>44.175865000000002</v>
      </c>
      <c r="T17" s="43">
        <v>44.199928</v>
      </c>
      <c r="U17" s="43">
        <v>44.226818000000002</v>
      </c>
      <c r="V17" s="43">
        <v>44.251251000000003</v>
      </c>
      <c r="W17" s="43">
        <v>44.275295</v>
      </c>
      <c r="X17" s="43">
        <v>44.303336999999999</v>
      </c>
      <c r="Y17" s="43">
        <v>44.329650999999998</v>
      </c>
      <c r="Z17" s="43">
        <v>44.353580000000001</v>
      </c>
      <c r="AA17" s="43">
        <v>44.380474</v>
      </c>
      <c r="AB17" s="43">
        <v>44.407325999999998</v>
      </c>
      <c r="AC17" s="43">
        <v>44.433022000000001</v>
      </c>
      <c r="AD17" s="43">
        <v>44.462474999999998</v>
      </c>
      <c r="AE17" s="43">
        <v>44.487000000000002</v>
      </c>
      <c r="AF17" s="43">
        <v>44.513119000000003</v>
      </c>
      <c r="AG17" s="43">
        <v>44.539867000000001</v>
      </c>
      <c r="AH17" s="43">
        <v>44.560859999999998</v>
      </c>
      <c r="AI17" s="35">
        <v>2.9510000000000001E-3</v>
      </c>
    </row>
    <row r="18" spans="1:35" ht="15" customHeight="1" x14ac:dyDescent="0.35">
      <c r="A18" s="29" t="s">
        <v>248</v>
      </c>
      <c r="B18" s="33" t="s">
        <v>51</v>
      </c>
      <c r="C18" s="43">
        <v>29.937078</v>
      </c>
      <c r="D18" s="43">
        <v>30.377672</v>
      </c>
      <c r="E18" s="43">
        <v>30.736597</v>
      </c>
      <c r="F18" s="43">
        <v>31.122178999999999</v>
      </c>
      <c r="G18" s="43">
        <v>31.519235999999999</v>
      </c>
      <c r="H18" s="43">
        <v>31.718975</v>
      </c>
      <c r="I18" s="43">
        <v>32.122982</v>
      </c>
      <c r="J18" s="43">
        <v>32.235588</v>
      </c>
      <c r="K18" s="43">
        <v>32.337090000000003</v>
      </c>
      <c r="L18" s="43">
        <v>32.442436000000001</v>
      </c>
      <c r="M18" s="43">
        <v>32.546497000000002</v>
      </c>
      <c r="N18" s="43">
        <v>32.644511999999999</v>
      </c>
      <c r="O18" s="43">
        <v>32.749747999999997</v>
      </c>
      <c r="P18" s="43">
        <v>32.854481</v>
      </c>
      <c r="Q18" s="43">
        <v>32.954987000000003</v>
      </c>
      <c r="R18" s="43">
        <v>32.994469000000002</v>
      </c>
      <c r="S18" s="43">
        <v>33.022143999999997</v>
      </c>
      <c r="T18" s="43">
        <v>33.048763000000001</v>
      </c>
      <c r="U18" s="43">
        <v>33.078403000000002</v>
      </c>
      <c r="V18" s="43">
        <v>33.104897000000001</v>
      </c>
      <c r="W18" s="43">
        <v>33.130710999999998</v>
      </c>
      <c r="X18" s="43">
        <v>33.161105999999997</v>
      </c>
      <c r="Y18" s="43">
        <v>33.189597999999997</v>
      </c>
      <c r="Z18" s="43">
        <v>33.215378000000001</v>
      </c>
      <c r="AA18" s="43">
        <v>33.244292999999999</v>
      </c>
      <c r="AB18" s="43">
        <v>33.273139999999998</v>
      </c>
      <c r="AC18" s="43">
        <v>33.300690000000003</v>
      </c>
      <c r="AD18" s="43">
        <v>33.332301999999999</v>
      </c>
      <c r="AE18" s="43">
        <v>33.358485999999999</v>
      </c>
      <c r="AF18" s="43">
        <v>33.386414000000002</v>
      </c>
      <c r="AG18" s="43">
        <v>33.414912999999999</v>
      </c>
      <c r="AH18" s="43">
        <v>33.437679000000003</v>
      </c>
      <c r="AI18" s="35">
        <v>3.5739999999999999E-3</v>
      </c>
    </row>
    <row r="19" spans="1:35" ht="15" customHeight="1" x14ac:dyDescent="0.35">
      <c r="A19" s="29" t="s">
        <v>247</v>
      </c>
      <c r="B19" s="33" t="s">
        <v>49</v>
      </c>
      <c r="C19" s="43">
        <v>28.122962999999999</v>
      </c>
      <c r="D19" s="43">
        <v>28.554724</v>
      </c>
      <c r="E19" s="43">
        <v>28.841942</v>
      </c>
      <c r="F19" s="43">
        <v>29.163243999999999</v>
      </c>
      <c r="G19" s="43">
        <v>29.469946</v>
      </c>
      <c r="H19" s="43">
        <v>29.702891999999999</v>
      </c>
      <c r="I19" s="43">
        <v>30.287600999999999</v>
      </c>
      <c r="J19" s="43">
        <v>30.400932000000001</v>
      </c>
      <c r="K19" s="43">
        <v>30.500643</v>
      </c>
      <c r="L19" s="43">
        <v>30.603598000000002</v>
      </c>
      <c r="M19" s="43">
        <v>30.705248000000001</v>
      </c>
      <c r="N19" s="43">
        <v>30.801544</v>
      </c>
      <c r="O19" s="43">
        <v>30.904934000000001</v>
      </c>
      <c r="P19" s="43">
        <v>31.006781</v>
      </c>
      <c r="Q19" s="43">
        <v>31.105587</v>
      </c>
      <c r="R19" s="43">
        <v>31.143484000000001</v>
      </c>
      <c r="S19" s="43">
        <v>31.171661</v>
      </c>
      <c r="T19" s="43">
        <v>31.198795</v>
      </c>
      <c r="U19" s="43">
        <v>31.226742000000002</v>
      </c>
      <c r="V19" s="43">
        <v>31.251503</v>
      </c>
      <c r="W19" s="43">
        <v>31.275513</v>
      </c>
      <c r="X19" s="43">
        <v>31.303187999999999</v>
      </c>
      <c r="Y19" s="43">
        <v>31.328980999999999</v>
      </c>
      <c r="Z19" s="43">
        <v>31.352276</v>
      </c>
      <c r="AA19" s="43">
        <v>31.378283</v>
      </c>
      <c r="AB19" s="43">
        <v>31.404095000000002</v>
      </c>
      <c r="AC19" s="43">
        <v>31.428605999999998</v>
      </c>
      <c r="AD19" s="43">
        <v>31.456657</v>
      </c>
      <c r="AE19" s="43">
        <v>31.479984000000002</v>
      </c>
      <c r="AF19" s="43">
        <v>31.504669</v>
      </c>
      <c r="AG19" s="43">
        <v>31.529838999999999</v>
      </c>
      <c r="AH19" s="43">
        <v>31.549130999999999</v>
      </c>
      <c r="AI19" s="35">
        <v>3.715E-3</v>
      </c>
    </row>
    <row r="20" spans="1:35" ht="15" customHeight="1" x14ac:dyDescent="0.35">
      <c r="A20" s="29" t="s">
        <v>246</v>
      </c>
      <c r="B20" s="33" t="s">
        <v>47</v>
      </c>
      <c r="C20" s="43">
        <v>35.054501000000002</v>
      </c>
      <c r="D20" s="43">
        <v>35.508766000000001</v>
      </c>
      <c r="E20" s="43">
        <v>35.878554999999999</v>
      </c>
      <c r="F20" s="43">
        <v>36.206206999999999</v>
      </c>
      <c r="G20" s="43">
        <v>36.467177999999997</v>
      </c>
      <c r="H20" s="43">
        <v>36.677169999999997</v>
      </c>
      <c r="I20" s="43">
        <v>37.135249999999999</v>
      </c>
      <c r="J20" s="43">
        <v>37.249054000000001</v>
      </c>
      <c r="K20" s="43">
        <v>37.348843000000002</v>
      </c>
      <c r="L20" s="43">
        <v>37.451591000000001</v>
      </c>
      <c r="M20" s="43">
        <v>37.553474000000001</v>
      </c>
      <c r="N20" s="43">
        <v>37.649974999999998</v>
      </c>
      <c r="O20" s="43">
        <v>37.752991000000002</v>
      </c>
      <c r="P20" s="43">
        <v>37.855473000000003</v>
      </c>
      <c r="Q20" s="43">
        <v>37.954056000000001</v>
      </c>
      <c r="R20" s="43">
        <v>37.990383000000001</v>
      </c>
      <c r="S20" s="43">
        <v>38.015841999999999</v>
      </c>
      <c r="T20" s="43">
        <v>38.040531000000001</v>
      </c>
      <c r="U20" s="43">
        <v>38.067188000000002</v>
      </c>
      <c r="V20" s="43">
        <v>38.090935000000002</v>
      </c>
      <c r="W20" s="43">
        <v>38.114086</v>
      </c>
      <c r="X20" s="43">
        <v>38.140442</v>
      </c>
      <c r="Y20" s="43">
        <v>38.164969999999997</v>
      </c>
      <c r="Z20" s="43">
        <v>38.187164000000003</v>
      </c>
      <c r="AA20" s="43">
        <v>38.211624</v>
      </c>
      <c r="AB20" s="43">
        <v>38.235698999999997</v>
      </c>
      <c r="AC20" s="43">
        <v>38.258476000000002</v>
      </c>
      <c r="AD20" s="43">
        <v>38.284367000000003</v>
      </c>
      <c r="AE20" s="43">
        <v>38.305965</v>
      </c>
      <c r="AF20" s="43">
        <v>38.328811999999999</v>
      </c>
      <c r="AG20" s="43">
        <v>38.352020000000003</v>
      </c>
      <c r="AH20" s="43">
        <v>38.369244000000002</v>
      </c>
      <c r="AI20" s="35">
        <v>2.9190000000000002E-3</v>
      </c>
    </row>
    <row r="21" spans="1:35" ht="15" customHeight="1" x14ac:dyDescent="0.35">
      <c r="A21" s="29" t="s">
        <v>245</v>
      </c>
      <c r="B21" s="33" t="s">
        <v>45</v>
      </c>
      <c r="C21" s="43">
        <v>102.50882</v>
      </c>
      <c r="D21" s="43">
        <v>103.10483600000001</v>
      </c>
      <c r="E21" s="43">
        <v>103.573097</v>
      </c>
      <c r="F21" s="43">
        <v>103.889229</v>
      </c>
      <c r="G21" s="43">
        <v>104.315521</v>
      </c>
      <c r="H21" s="43">
        <v>104.48214</v>
      </c>
      <c r="I21" s="43">
        <v>104.682495</v>
      </c>
      <c r="J21" s="43">
        <v>104.80089599999999</v>
      </c>
      <c r="K21" s="43">
        <v>104.908005</v>
      </c>
      <c r="L21" s="43">
        <v>105.01707500000001</v>
      </c>
      <c r="M21" s="43">
        <v>105.122665</v>
      </c>
      <c r="N21" s="43">
        <v>105.220001</v>
      </c>
      <c r="O21" s="43">
        <v>105.321579</v>
      </c>
      <c r="P21" s="43">
        <v>105.422012</v>
      </c>
      <c r="Q21" s="43">
        <v>105.519485</v>
      </c>
      <c r="R21" s="43">
        <v>105.553436</v>
      </c>
      <c r="S21" s="43">
        <v>105.575912</v>
      </c>
      <c r="T21" s="43">
        <v>105.599411</v>
      </c>
      <c r="U21" s="43">
        <v>105.62515999999999</v>
      </c>
      <c r="V21" s="43">
        <v>105.648033</v>
      </c>
      <c r="W21" s="43">
        <v>105.670883</v>
      </c>
      <c r="X21" s="43">
        <v>105.696831</v>
      </c>
      <c r="Y21" s="43">
        <v>105.721085</v>
      </c>
      <c r="Z21" s="43">
        <v>105.743004</v>
      </c>
      <c r="AA21" s="43">
        <v>105.76722700000001</v>
      </c>
      <c r="AB21" s="43">
        <v>105.791336</v>
      </c>
      <c r="AC21" s="43">
        <v>105.814964</v>
      </c>
      <c r="AD21" s="43">
        <v>105.84111799999999</v>
      </c>
      <c r="AE21" s="43">
        <v>105.862961</v>
      </c>
      <c r="AF21" s="43">
        <v>105.886543</v>
      </c>
      <c r="AG21" s="43">
        <v>105.91001900000001</v>
      </c>
      <c r="AH21" s="43">
        <v>105.927643</v>
      </c>
      <c r="AI21" s="35">
        <v>1.059E-3</v>
      </c>
    </row>
    <row r="22" spans="1:35" ht="15" customHeight="1" x14ac:dyDescent="0.35">
      <c r="A22" s="29" t="s">
        <v>648</v>
      </c>
      <c r="B22" s="33" t="s">
        <v>556</v>
      </c>
      <c r="C22" s="43">
        <v>27.189509999999999</v>
      </c>
      <c r="D22" s="43">
        <v>27.624303999999999</v>
      </c>
      <c r="E22" s="43">
        <v>27.943438</v>
      </c>
      <c r="F22" s="43">
        <v>28.303726000000001</v>
      </c>
      <c r="G22" s="43">
        <v>28.674410000000002</v>
      </c>
      <c r="H22" s="43">
        <v>28.923601000000001</v>
      </c>
      <c r="I22" s="43">
        <v>29.282758999999999</v>
      </c>
      <c r="J22" s="43">
        <v>29.385072999999998</v>
      </c>
      <c r="K22" s="43">
        <v>29.479569999999999</v>
      </c>
      <c r="L22" s="43">
        <v>29.576578000000001</v>
      </c>
      <c r="M22" s="43">
        <v>29.673535999999999</v>
      </c>
      <c r="N22" s="43">
        <v>29.766323</v>
      </c>
      <c r="O22" s="43">
        <v>29.863413000000001</v>
      </c>
      <c r="P22" s="43">
        <v>29.960284999999999</v>
      </c>
      <c r="Q22" s="43">
        <v>30.056227</v>
      </c>
      <c r="R22" s="43">
        <v>30.088502999999999</v>
      </c>
      <c r="S22" s="43">
        <v>30.109183999999999</v>
      </c>
      <c r="T22" s="43">
        <v>30.128758999999999</v>
      </c>
      <c r="U22" s="43">
        <v>30.150303000000001</v>
      </c>
      <c r="V22" s="43">
        <v>30.170036</v>
      </c>
      <c r="W22" s="43">
        <v>30.189250999999999</v>
      </c>
      <c r="X22" s="43">
        <v>30.211296000000001</v>
      </c>
      <c r="Y22" s="43">
        <v>30.232054000000002</v>
      </c>
      <c r="Z22" s="43">
        <v>30.251004999999999</v>
      </c>
      <c r="AA22" s="43">
        <v>30.272074</v>
      </c>
      <c r="AB22" s="43">
        <v>30.29307</v>
      </c>
      <c r="AC22" s="43">
        <v>30.313542999999999</v>
      </c>
      <c r="AD22" s="43">
        <v>30.336556999999999</v>
      </c>
      <c r="AE22" s="43">
        <v>30.364677</v>
      </c>
      <c r="AF22" s="43">
        <v>30.399253999999999</v>
      </c>
      <c r="AG22" s="43">
        <v>30.433866999999999</v>
      </c>
      <c r="AH22" s="43">
        <v>30.462425</v>
      </c>
      <c r="AI22" s="35">
        <v>3.673E-3</v>
      </c>
    </row>
    <row r="23" spans="1:35" ht="15" customHeight="1" x14ac:dyDescent="0.35">
      <c r="A23" s="29" t="s">
        <v>649</v>
      </c>
      <c r="B23" s="33" t="s">
        <v>557</v>
      </c>
      <c r="C23" s="43">
        <v>35.646571999999999</v>
      </c>
      <c r="D23" s="43">
        <v>36.163212000000001</v>
      </c>
      <c r="E23" s="43">
        <v>36.541378000000002</v>
      </c>
      <c r="F23" s="43">
        <v>36.866061999999999</v>
      </c>
      <c r="G23" s="43">
        <v>37.240524000000001</v>
      </c>
      <c r="H23" s="43">
        <v>37.503478999999999</v>
      </c>
      <c r="I23" s="43">
        <v>37.749648999999998</v>
      </c>
      <c r="J23" s="43">
        <v>37.843055999999997</v>
      </c>
      <c r="K23" s="43">
        <v>37.936016000000002</v>
      </c>
      <c r="L23" s="43">
        <v>38.031329999999997</v>
      </c>
      <c r="M23" s="43">
        <v>38.125881</v>
      </c>
      <c r="N23" s="43">
        <v>38.217606000000004</v>
      </c>
      <c r="O23" s="43">
        <v>38.311633999999998</v>
      </c>
      <c r="P23" s="43">
        <v>38.405833999999999</v>
      </c>
      <c r="Q23" s="43">
        <v>38.497402000000001</v>
      </c>
      <c r="R23" s="43">
        <v>38.525115999999997</v>
      </c>
      <c r="S23" s="43">
        <v>38.541060999999999</v>
      </c>
      <c r="T23" s="43">
        <v>38.556431000000003</v>
      </c>
      <c r="U23" s="43">
        <v>38.573135000000001</v>
      </c>
      <c r="V23" s="43">
        <v>38.588496999999997</v>
      </c>
      <c r="W23" s="43">
        <v>38.604210000000002</v>
      </c>
      <c r="X23" s="43">
        <v>38.621521000000001</v>
      </c>
      <c r="Y23" s="43">
        <v>38.637852000000002</v>
      </c>
      <c r="Z23" s="43">
        <v>38.652968999999999</v>
      </c>
      <c r="AA23" s="43">
        <v>38.669249999999998</v>
      </c>
      <c r="AB23" s="43">
        <v>38.685451999999998</v>
      </c>
      <c r="AC23" s="43">
        <v>38.702030000000001</v>
      </c>
      <c r="AD23" s="43">
        <v>38.719608000000001</v>
      </c>
      <c r="AE23" s="43">
        <v>38.734763999999998</v>
      </c>
      <c r="AF23" s="43">
        <v>38.751399999999997</v>
      </c>
      <c r="AG23" s="43">
        <v>38.767547999999998</v>
      </c>
      <c r="AH23" s="43">
        <v>38.778022999999997</v>
      </c>
      <c r="AI23" s="35">
        <v>2.7200000000000002E-3</v>
      </c>
    </row>
    <row r="24" spans="1:35" ht="15" customHeight="1" x14ac:dyDescent="0.35">
      <c r="A24" s="29" t="s">
        <v>244</v>
      </c>
      <c r="B24" s="33" t="s">
        <v>43</v>
      </c>
      <c r="C24" s="43">
        <v>33.066090000000003</v>
      </c>
      <c r="D24" s="43">
        <v>33.678218999999999</v>
      </c>
      <c r="E24" s="43">
        <v>34.110064999999999</v>
      </c>
      <c r="F24" s="43">
        <v>34.562736999999998</v>
      </c>
      <c r="G24" s="43">
        <v>34.821948999999996</v>
      </c>
      <c r="H24" s="43">
        <v>35.189006999999997</v>
      </c>
      <c r="I24" s="43">
        <v>35.595303000000001</v>
      </c>
      <c r="J24" s="43">
        <v>35.687018999999999</v>
      </c>
      <c r="K24" s="43">
        <v>35.778522000000002</v>
      </c>
      <c r="L24" s="43">
        <v>35.871448999999998</v>
      </c>
      <c r="M24" s="43">
        <v>35.964118999999997</v>
      </c>
      <c r="N24" s="43">
        <v>36.054394000000002</v>
      </c>
      <c r="O24" s="43">
        <v>36.147556000000002</v>
      </c>
      <c r="P24" s="43">
        <v>36.240825999999998</v>
      </c>
      <c r="Q24" s="43">
        <v>36.332596000000002</v>
      </c>
      <c r="R24" s="43">
        <v>36.361305000000002</v>
      </c>
      <c r="S24" s="43">
        <v>36.377758</v>
      </c>
      <c r="T24" s="43">
        <v>36.393028000000001</v>
      </c>
      <c r="U24" s="43">
        <v>36.41198</v>
      </c>
      <c r="V24" s="43">
        <v>36.429229999999997</v>
      </c>
      <c r="W24" s="43">
        <v>36.446525999999999</v>
      </c>
      <c r="X24" s="43">
        <v>36.465877999999996</v>
      </c>
      <c r="Y24" s="43">
        <v>36.484222000000003</v>
      </c>
      <c r="Z24" s="43">
        <v>36.501049000000002</v>
      </c>
      <c r="AA24" s="43">
        <v>36.519482000000004</v>
      </c>
      <c r="AB24" s="43">
        <v>36.537860999999999</v>
      </c>
      <c r="AC24" s="43">
        <v>36.555779000000001</v>
      </c>
      <c r="AD24" s="43">
        <v>36.575783000000001</v>
      </c>
      <c r="AE24" s="43">
        <v>36.592899000000003</v>
      </c>
      <c r="AF24" s="43">
        <v>36.611148999999997</v>
      </c>
      <c r="AG24" s="43">
        <v>36.629649999999998</v>
      </c>
      <c r="AH24" s="43">
        <v>36.642296000000002</v>
      </c>
      <c r="AI24" s="35">
        <v>3.3180000000000002E-3</v>
      </c>
    </row>
    <row r="25" spans="1:35" ht="15" customHeight="1" x14ac:dyDescent="0.35">
      <c r="A25" s="29" t="s">
        <v>243</v>
      </c>
      <c r="B25" s="33" t="s">
        <v>41</v>
      </c>
      <c r="C25" s="43">
        <v>38.063777999999999</v>
      </c>
      <c r="D25" s="43">
        <v>38.574451000000003</v>
      </c>
      <c r="E25" s="43">
        <v>38.927245999999997</v>
      </c>
      <c r="F25" s="43">
        <v>39.201873999999997</v>
      </c>
      <c r="G25" s="43">
        <v>39.455382999999998</v>
      </c>
      <c r="H25" s="43">
        <v>39.906905999999999</v>
      </c>
      <c r="I25" s="43">
        <v>40.287945000000001</v>
      </c>
      <c r="J25" s="43">
        <v>40.382088000000003</v>
      </c>
      <c r="K25" s="43">
        <v>40.475731000000003</v>
      </c>
      <c r="L25" s="43">
        <v>40.571120999999998</v>
      </c>
      <c r="M25" s="43">
        <v>40.665984999999999</v>
      </c>
      <c r="N25" s="43">
        <v>40.757671000000002</v>
      </c>
      <c r="O25" s="43">
        <v>40.853026999999997</v>
      </c>
      <c r="P25" s="43">
        <v>40.948298999999999</v>
      </c>
      <c r="Q25" s="43">
        <v>41.041443000000001</v>
      </c>
      <c r="R25" s="43">
        <v>41.071308000000002</v>
      </c>
      <c r="S25" s="43">
        <v>41.088901999999997</v>
      </c>
      <c r="T25" s="43">
        <v>41.105896000000001</v>
      </c>
      <c r="U25" s="43">
        <v>41.125427000000002</v>
      </c>
      <c r="V25" s="43">
        <v>41.143208000000001</v>
      </c>
      <c r="W25" s="43">
        <v>41.160953999999997</v>
      </c>
      <c r="X25" s="43">
        <v>41.181049000000002</v>
      </c>
      <c r="Y25" s="43">
        <v>41.200127000000002</v>
      </c>
      <c r="Z25" s="43">
        <v>41.217739000000002</v>
      </c>
      <c r="AA25" s="43">
        <v>41.237090999999999</v>
      </c>
      <c r="AB25" s="43">
        <v>41.256435000000003</v>
      </c>
      <c r="AC25" s="43">
        <v>41.275345000000002</v>
      </c>
      <c r="AD25" s="43">
        <v>41.296429000000003</v>
      </c>
      <c r="AE25" s="43">
        <v>41.314407000000003</v>
      </c>
      <c r="AF25" s="43">
        <v>41.333644999999997</v>
      </c>
      <c r="AG25" s="43">
        <v>41.353122999999997</v>
      </c>
      <c r="AH25" s="43">
        <v>41.366771999999997</v>
      </c>
      <c r="AI25" s="35">
        <v>2.6879999999999999E-3</v>
      </c>
    </row>
    <row r="26" spans="1:35" ht="15" customHeight="1" x14ac:dyDescent="0.35">
      <c r="A26" s="29" t="s">
        <v>242</v>
      </c>
      <c r="B26" s="33" t="s">
        <v>39</v>
      </c>
      <c r="C26" s="43">
        <v>32.723849999999999</v>
      </c>
      <c r="D26" s="43">
        <v>33.257454000000003</v>
      </c>
      <c r="E26" s="43">
        <v>33.670631</v>
      </c>
      <c r="F26" s="43">
        <v>34.012058000000003</v>
      </c>
      <c r="G26" s="43">
        <v>34.281643000000003</v>
      </c>
      <c r="H26" s="43">
        <v>34.728648999999997</v>
      </c>
      <c r="I26" s="43">
        <v>34.934460000000001</v>
      </c>
      <c r="J26" s="43">
        <v>35.023228000000003</v>
      </c>
      <c r="K26" s="43">
        <v>35.111538000000003</v>
      </c>
      <c r="L26" s="43">
        <v>35.200358999999999</v>
      </c>
      <c r="M26" s="43">
        <v>35.288741999999999</v>
      </c>
      <c r="N26" s="43">
        <v>35.375813000000001</v>
      </c>
      <c r="O26" s="43">
        <v>35.463825</v>
      </c>
      <c r="P26" s="43">
        <v>35.551647000000003</v>
      </c>
      <c r="Q26" s="43">
        <v>35.638412000000002</v>
      </c>
      <c r="R26" s="43">
        <v>35.661045000000001</v>
      </c>
      <c r="S26" s="43">
        <v>35.672165</v>
      </c>
      <c r="T26" s="43">
        <v>35.684081999999997</v>
      </c>
      <c r="U26" s="43">
        <v>35.695999</v>
      </c>
      <c r="V26" s="43">
        <v>35.706802000000003</v>
      </c>
      <c r="W26" s="43">
        <v>35.717232000000003</v>
      </c>
      <c r="X26" s="43">
        <v>35.728290999999999</v>
      </c>
      <c r="Y26" s="43">
        <v>35.738914000000001</v>
      </c>
      <c r="Z26" s="43">
        <v>35.748939999999997</v>
      </c>
      <c r="AA26" s="43">
        <v>35.759430000000002</v>
      </c>
      <c r="AB26" s="43">
        <v>35.769790999999998</v>
      </c>
      <c r="AC26" s="43">
        <v>35.780045000000001</v>
      </c>
      <c r="AD26" s="43">
        <v>35.790847999999997</v>
      </c>
      <c r="AE26" s="43">
        <v>35.800635999999997</v>
      </c>
      <c r="AF26" s="43">
        <v>35.810844000000003</v>
      </c>
      <c r="AG26" s="43">
        <v>35.821026000000003</v>
      </c>
      <c r="AH26" s="43">
        <v>35.825153</v>
      </c>
      <c r="AI26" s="35">
        <v>2.9250000000000001E-3</v>
      </c>
    </row>
    <row r="27" spans="1:35" ht="15" customHeight="1" x14ac:dyDescent="0.35">
      <c r="A27" s="29" t="s">
        <v>241</v>
      </c>
      <c r="B27" s="33" t="s">
        <v>37</v>
      </c>
      <c r="C27" s="43">
        <v>31.101369999999999</v>
      </c>
      <c r="D27" s="43">
        <v>31.732315</v>
      </c>
      <c r="E27" s="43">
        <v>32.305576000000002</v>
      </c>
      <c r="F27" s="43">
        <v>32.821102000000003</v>
      </c>
      <c r="G27" s="43">
        <v>33.308636</v>
      </c>
      <c r="H27" s="43">
        <v>33.792144999999998</v>
      </c>
      <c r="I27" s="43">
        <v>34.000340000000001</v>
      </c>
      <c r="J27" s="43">
        <v>34.090324000000003</v>
      </c>
      <c r="K27" s="43">
        <v>34.179828999999998</v>
      </c>
      <c r="L27" s="43">
        <v>34.270206000000002</v>
      </c>
      <c r="M27" s="43">
        <v>34.360168000000002</v>
      </c>
      <c r="N27" s="43">
        <v>34.448295999999999</v>
      </c>
      <c r="O27" s="43">
        <v>34.538448000000002</v>
      </c>
      <c r="P27" s="43">
        <v>34.628563</v>
      </c>
      <c r="Q27" s="43">
        <v>34.717391999999997</v>
      </c>
      <c r="R27" s="43">
        <v>34.741759999999999</v>
      </c>
      <c r="S27" s="43">
        <v>34.754058999999998</v>
      </c>
      <c r="T27" s="43">
        <v>34.766685000000003</v>
      </c>
      <c r="U27" s="43">
        <v>34.780650999999999</v>
      </c>
      <c r="V27" s="43">
        <v>34.793849999999999</v>
      </c>
      <c r="W27" s="43">
        <v>34.806914999999996</v>
      </c>
      <c r="X27" s="43">
        <v>34.821635999999998</v>
      </c>
      <c r="Y27" s="43">
        <v>34.835861000000001</v>
      </c>
      <c r="Z27" s="43">
        <v>34.849181999999999</v>
      </c>
      <c r="AA27" s="43">
        <v>34.863762000000001</v>
      </c>
      <c r="AB27" s="43">
        <v>34.878394999999998</v>
      </c>
      <c r="AC27" s="43">
        <v>34.892628000000002</v>
      </c>
      <c r="AD27" s="43">
        <v>34.908566</v>
      </c>
      <c r="AE27" s="43">
        <v>34.922542999999997</v>
      </c>
      <c r="AF27" s="43">
        <v>34.937294000000001</v>
      </c>
      <c r="AG27" s="43">
        <v>34.952415000000002</v>
      </c>
      <c r="AH27" s="43">
        <v>34.961620000000003</v>
      </c>
      <c r="AI27" s="35">
        <v>3.7810000000000001E-3</v>
      </c>
    </row>
    <row r="28" spans="1:35" ht="15" customHeight="1" x14ac:dyDescent="0.35">
      <c r="A28" s="29" t="s">
        <v>240</v>
      </c>
      <c r="B28" s="33" t="s">
        <v>35</v>
      </c>
      <c r="C28" s="43">
        <v>35.879027999999998</v>
      </c>
      <c r="D28" s="43">
        <v>36.548290000000001</v>
      </c>
      <c r="E28" s="43">
        <v>37.138294000000002</v>
      </c>
      <c r="F28" s="43">
        <v>37.694324000000002</v>
      </c>
      <c r="G28" s="43">
        <v>38.185893999999998</v>
      </c>
      <c r="H28" s="43">
        <v>38.709159999999997</v>
      </c>
      <c r="I28" s="43">
        <v>38.914096999999998</v>
      </c>
      <c r="J28" s="43">
        <v>39.005237999999999</v>
      </c>
      <c r="K28" s="43">
        <v>39.096432</v>
      </c>
      <c r="L28" s="43">
        <v>39.188823999999997</v>
      </c>
      <c r="M28" s="43">
        <v>39.280574999999999</v>
      </c>
      <c r="N28" s="43">
        <v>39.369312000000001</v>
      </c>
      <c r="O28" s="43">
        <v>39.460251</v>
      </c>
      <c r="P28" s="43">
        <v>39.551197000000002</v>
      </c>
      <c r="Q28" s="43">
        <v>39.640811999999997</v>
      </c>
      <c r="R28" s="43">
        <v>39.666854999999998</v>
      </c>
      <c r="S28" s="43">
        <v>39.680762999999999</v>
      </c>
      <c r="T28" s="43">
        <v>39.694705999999996</v>
      </c>
      <c r="U28" s="43">
        <v>39.710479999999997</v>
      </c>
      <c r="V28" s="43">
        <v>39.725158999999998</v>
      </c>
      <c r="W28" s="43">
        <v>39.739735000000003</v>
      </c>
      <c r="X28" s="43">
        <v>39.756126000000002</v>
      </c>
      <c r="Y28" s="43">
        <v>39.771847000000001</v>
      </c>
      <c r="Z28" s="43">
        <v>39.786472000000003</v>
      </c>
      <c r="AA28" s="43">
        <v>39.802501999999997</v>
      </c>
      <c r="AB28" s="43">
        <v>39.818558000000003</v>
      </c>
      <c r="AC28" s="43">
        <v>39.834209000000001</v>
      </c>
      <c r="AD28" s="43">
        <v>39.851719000000003</v>
      </c>
      <c r="AE28" s="43">
        <v>39.866923999999997</v>
      </c>
      <c r="AF28" s="43">
        <v>39.88306</v>
      </c>
      <c r="AG28" s="43">
        <v>39.899529000000001</v>
      </c>
      <c r="AH28" s="43">
        <v>39.910107000000004</v>
      </c>
      <c r="AI28" s="35">
        <v>3.441E-3</v>
      </c>
    </row>
    <row r="29" spans="1:35" ht="15" customHeight="1" x14ac:dyDescent="0.35">
      <c r="A29" s="29" t="s">
        <v>239</v>
      </c>
      <c r="B29" s="33" t="s">
        <v>33</v>
      </c>
      <c r="C29" s="43">
        <v>62.510323</v>
      </c>
      <c r="D29" s="43">
        <v>62.988273999999997</v>
      </c>
      <c r="E29" s="43">
        <v>63.313431000000001</v>
      </c>
      <c r="F29" s="43">
        <v>63.606796000000003</v>
      </c>
      <c r="G29" s="43">
        <v>63.846828000000002</v>
      </c>
      <c r="H29" s="43">
        <v>64.371077999999997</v>
      </c>
      <c r="I29" s="43">
        <v>64.819252000000006</v>
      </c>
      <c r="J29" s="43">
        <v>64.911293000000001</v>
      </c>
      <c r="K29" s="43">
        <v>65.003058999999993</v>
      </c>
      <c r="L29" s="43">
        <v>65.096214000000003</v>
      </c>
      <c r="M29" s="43">
        <v>65.188491999999997</v>
      </c>
      <c r="N29" s="43">
        <v>65.278435000000002</v>
      </c>
      <c r="O29" s="43">
        <v>65.371207999999996</v>
      </c>
      <c r="P29" s="43">
        <v>65.464591999999996</v>
      </c>
      <c r="Q29" s="43">
        <v>65.555412000000004</v>
      </c>
      <c r="R29" s="43">
        <v>65.583099000000004</v>
      </c>
      <c r="S29" s="43">
        <v>65.598052999999993</v>
      </c>
      <c r="T29" s="43">
        <v>65.613440999999995</v>
      </c>
      <c r="U29" s="43">
        <v>65.630393999999995</v>
      </c>
      <c r="V29" s="43">
        <v>65.646125999999995</v>
      </c>
      <c r="W29" s="43">
        <v>65.661934000000002</v>
      </c>
      <c r="X29" s="43">
        <v>65.679878000000002</v>
      </c>
      <c r="Y29" s="43">
        <v>65.697074999999998</v>
      </c>
      <c r="Z29" s="43">
        <v>65.713158000000007</v>
      </c>
      <c r="AA29" s="43">
        <v>65.730903999999995</v>
      </c>
      <c r="AB29" s="43">
        <v>65.748756</v>
      </c>
      <c r="AC29" s="43">
        <v>65.766281000000006</v>
      </c>
      <c r="AD29" s="43">
        <v>65.785895999999994</v>
      </c>
      <c r="AE29" s="43">
        <v>65.802825999999996</v>
      </c>
      <c r="AF29" s="43">
        <v>65.820960999999997</v>
      </c>
      <c r="AG29" s="43">
        <v>65.839438999999999</v>
      </c>
      <c r="AH29" s="43">
        <v>65.852097000000001</v>
      </c>
      <c r="AI29" s="35">
        <v>1.681E-3</v>
      </c>
    </row>
    <row r="30" spans="1:35" ht="15" customHeight="1" x14ac:dyDescent="0.35">
      <c r="A30" s="29" t="s">
        <v>650</v>
      </c>
      <c r="B30" s="33" t="s">
        <v>558</v>
      </c>
      <c r="C30" s="43">
        <v>31.086566999999999</v>
      </c>
      <c r="D30" s="43">
        <v>31.489381999999999</v>
      </c>
      <c r="E30" s="43">
        <v>31.804265999999998</v>
      </c>
      <c r="F30" s="43">
        <v>32.230518000000004</v>
      </c>
      <c r="G30" s="43">
        <v>32.508567999999997</v>
      </c>
      <c r="H30" s="43">
        <v>32.932194000000003</v>
      </c>
      <c r="I30" s="43">
        <v>33.473300999999999</v>
      </c>
      <c r="J30" s="43">
        <v>33.570141</v>
      </c>
      <c r="K30" s="43">
        <v>33.666656000000003</v>
      </c>
      <c r="L30" s="43">
        <v>33.765244000000003</v>
      </c>
      <c r="M30" s="43">
        <v>33.863033000000001</v>
      </c>
      <c r="N30" s="43">
        <v>33.956192000000001</v>
      </c>
      <c r="O30" s="43">
        <v>34.054305999999997</v>
      </c>
      <c r="P30" s="43">
        <v>34.152264000000002</v>
      </c>
      <c r="Q30" s="43">
        <v>34.247692000000001</v>
      </c>
      <c r="R30" s="43">
        <v>34.280704</v>
      </c>
      <c r="S30" s="43">
        <v>34.302410000000002</v>
      </c>
      <c r="T30" s="43">
        <v>34.323692000000001</v>
      </c>
      <c r="U30" s="43">
        <v>34.347228999999999</v>
      </c>
      <c r="V30" s="43">
        <v>34.368698000000002</v>
      </c>
      <c r="W30" s="43">
        <v>34.389995999999996</v>
      </c>
      <c r="X30" s="43">
        <v>34.414585000000002</v>
      </c>
      <c r="Y30" s="43">
        <v>34.437809000000001</v>
      </c>
      <c r="Z30" s="43">
        <v>34.458911999999998</v>
      </c>
      <c r="AA30" s="43">
        <v>34.482532999999997</v>
      </c>
      <c r="AB30" s="43">
        <v>34.506256</v>
      </c>
      <c r="AC30" s="43">
        <v>34.529159999999997</v>
      </c>
      <c r="AD30" s="43">
        <v>34.555145000000003</v>
      </c>
      <c r="AE30" s="43">
        <v>34.576878000000001</v>
      </c>
      <c r="AF30" s="43">
        <v>34.602271999999999</v>
      </c>
      <c r="AG30" s="43">
        <v>34.629272</v>
      </c>
      <c r="AH30" s="43">
        <v>34.650398000000003</v>
      </c>
      <c r="AI30" s="35">
        <v>3.5070000000000001E-3</v>
      </c>
    </row>
    <row r="31" spans="1:35" ht="15" customHeight="1" x14ac:dyDescent="0.35">
      <c r="A31" s="29" t="s">
        <v>651</v>
      </c>
      <c r="B31" s="33" t="s">
        <v>559</v>
      </c>
      <c r="C31" s="43">
        <v>43.234428000000001</v>
      </c>
      <c r="D31" s="43">
        <v>43.730541000000002</v>
      </c>
      <c r="E31" s="43">
        <v>44.168858</v>
      </c>
      <c r="F31" s="43">
        <v>44.528027000000002</v>
      </c>
      <c r="G31" s="43">
        <v>44.806252000000001</v>
      </c>
      <c r="H31" s="43">
        <v>45.183532999999997</v>
      </c>
      <c r="I31" s="43">
        <v>45.482494000000003</v>
      </c>
      <c r="J31" s="43">
        <v>45.646656</v>
      </c>
      <c r="K31" s="43">
        <v>45.743259000000002</v>
      </c>
      <c r="L31" s="43">
        <v>45.841960999999998</v>
      </c>
      <c r="M31" s="43">
        <v>45.939864999999998</v>
      </c>
      <c r="N31" s="43">
        <v>46.033695000000002</v>
      </c>
      <c r="O31" s="43">
        <v>46.132156000000002</v>
      </c>
      <c r="P31" s="43">
        <v>46.230331</v>
      </c>
      <c r="Q31" s="43">
        <v>46.325538999999999</v>
      </c>
      <c r="R31" s="43">
        <v>46.357627999999998</v>
      </c>
      <c r="S31" s="43">
        <v>46.378109000000002</v>
      </c>
      <c r="T31" s="43">
        <v>46.397739000000001</v>
      </c>
      <c r="U31" s="43">
        <v>46.420001999999997</v>
      </c>
      <c r="V31" s="43">
        <v>46.440013999999998</v>
      </c>
      <c r="W31" s="43">
        <v>46.459983999999999</v>
      </c>
      <c r="X31" s="43">
        <v>46.482422</v>
      </c>
      <c r="Y31" s="43">
        <v>46.503402999999999</v>
      </c>
      <c r="Z31" s="43">
        <v>46.522537</v>
      </c>
      <c r="AA31" s="43">
        <v>46.543551999999998</v>
      </c>
      <c r="AB31" s="43">
        <v>46.564383999999997</v>
      </c>
      <c r="AC31" s="43">
        <v>46.584491999999997</v>
      </c>
      <c r="AD31" s="43">
        <v>46.606994999999998</v>
      </c>
      <c r="AE31" s="43">
        <v>46.626007000000001</v>
      </c>
      <c r="AF31" s="43">
        <v>46.646191000000002</v>
      </c>
      <c r="AG31" s="43">
        <v>46.666598999999998</v>
      </c>
      <c r="AH31" s="43">
        <v>46.681057000000003</v>
      </c>
      <c r="AI31" s="35">
        <v>2.477E-3</v>
      </c>
    </row>
    <row r="33" spans="1:35" ht="15" customHeight="1" x14ac:dyDescent="0.35">
      <c r="A33" s="25"/>
      <c r="B33" s="32" t="s">
        <v>238</v>
      </c>
      <c r="C33" s="25"/>
      <c r="D33" s="25"/>
      <c r="E33" s="25"/>
      <c r="F33" s="25"/>
      <c r="G33" s="25"/>
      <c r="H33" s="25"/>
      <c r="I33" s="25"/>
      <c r="J33" s="25"/>
      <c r="K33" s="25"/>
      <c r="L33" s="25"/>
      <c r="M33" s="25"/>
      <c r="N33" s="25"/>
      <c r="O33" s="25"/>
      <c r="P33" s="25"/>
      <c r="Q33" s="25"/>
      <c r="R33" s="25"/>
      <c r="S33" s="25"/>
      <c r="T33" s="25"/>
      <c r="U33" s="25"/>
      <c r="V33" s="25"/>
      <c r="W33" s="25"/>
      <c r="X33" s="25"/>
      <c r="Y33" s="25"/>
      <c r="Z33" s="25"/>
      <c r="AA33" s="25"/>
      <c r="AB33" s="25"/>
      <c r="AC33" s="25"/>
      <c r="AD33" s="25"/>
      <c r="AE33" s="25"/>
      <c r="AF33" s="25"/>
      <c r="AG33" s="25"/>
      <c r="AH33" s="25"/>
      <c r="AI33" s="25"/>
    </row>
    <row r="34" spans="1:35" ht="15" customHeight="1" x14ac:dyDescent="0.35">
      <c r="A34" s="29" t="s">
        <v>237</v>
      </c>
      <c r="B34" s="33" t="s">
        <v>55</v>
      </c>
      <c r="C34" s="43">
        <v>0</v>
      </c>
      <c r="D34" s="43">
        <v>0</v>
      </c>
      <c r="E34" s="43">
        <v>0</v>
      </c>
      <c r="F34" s="43">
        <v>0</v>
      </c>
      <c r="G34" s="43">
        <v>0</v>
      </c>
      <c r="H34" s="43">
        <v>0</v>
      </c>
      <c r="I34" s="43">
        <v>0</v>
      </c>
      <c r="J34" s="43">
        <v>0</v>
      </c>
      <c r="K34" s="43">
        <v>0</v>
      </c>
      <c r="L34" s="43">
        <v>0</v>
      </c>
      <c r="M34" s="43">
        <v>0</v>
      </c>
      <c r="N34" s="43">
        <v>0</v>
      </c>
      <c r="O34" s="43">
        <v>0</v>
      </c>
      <c r="P34" s="43">
        <v>0</v>
      </c>
      <c r="Q34" s="43">
        <v>0</v>
      </c>
      <c r="R34" s="43">
        <v>0</v>
      </c>
      <c r="S34" s="43">
        <v>0</v>
      </c>
      <c r="T34" s="43">
        <v>0</v>
      </c>
      <c r="U34" s="43">
        <v>0</v>
      </c>
      <c r="V34" s="43">
        <v>0</v>
      </c>
      <c r="W34" s="43">
        <v>0</v>
      </c>
      <c r="X34" s="43">
        <v>0</v>
      </c>
      <c r="Y34" s="43">
        <v>0</v>
      </c>
      <c r="Z34" s="43">
        <v>0</v>
      </c>
      <c r="AA34" s="43">
        <v>0</v>
      </c>
      <c r="AB34" s="43">
        <v>0</v>
      </c>
      <c r="AC34" s="43">
        <v>0</v>
      </c>
      <c r="AD34" s="43">
        <v>0</v>
      </c>
      <c r="AE34" s="43">
        <v>0</v>
      </c>
      <c r="AF34" s="43">
        <v>0</v>
      </c>
      <c r="AG34" s="43">
        <v>0</v>
      </c>
      <c r="AH34" s="43">
        <v>0</v>
      </c>
      <c r="AI34" s="35" t="s">
        <v>12</v>
      </c>
    </row>
    <row r="35" spans="1:35" ht="15" customHeight="1" x14ac:dyDescent="0.35">
      <c r="A35" s="29" t="s">
        <v>236</v>
      </c>
      <c r="B35" s="33" t="s">
        <v>53</v>
      </c>
      <c r="C35" s="43">
        <v>44.894427999999998</v>
      </c>
      <c r="D35" s="43">
        <v>45.345722000000002</v>
      </c>
      <c r="E35" s="43">
        <v>45.740116</v>
      </c>
      <c r="F35" s="43">
        <v>46.062621999999998</v>
      </c>
      <c r="G35" s="43">
        <v>46.413330000000002</v>
      </c>
      <c r="H35" s="43">
        <v>46.563842999999999</v>
      </c>
      <c r="I35" s="43">
        <v>46.817729999999997</v>
      </c>
      <c r="J35" s="43">
        <v>46.919842000000003</v>
      </c>
      <c r="K35" s="43">
        <v>47.02129</v>
      </c>
      <c r="L35" s="43">
        <v>47.126041000000001</v>
      </c>
      <c r="M35" s="43">
        <v>47.229706</v>
      </c>
      <c r="N35" s="43">
        <v>47.327724000000003</v>
      </c>
      <c r="O35" s="43">
        <v>47.432456999999999</v>
      </c>
      <c r="P35" s="43">
        <v>47.536864999999999</v>
      </c>
      <c r="Q35" s="43">
        <v>47.636845000000001</v>
      </c>
      <c r="R35" s="43">
        <v>47.673507999999998</v>
      </c>
      <c r="S35" s="43">
        <v>47.699264999999997</v>
      </c>
      <c r="T35" s="43">
        <v>47.724266</v>
      </c>
      <c r="U35" s="43">
        <v>47.751781000000001</v>
      </c>
      <c r="V35" s="43">
        <v>47.776896999999998</v>
      </c>
      <c r="W35" s="43">
        <v>47.801552000000001</v>
      </c>
      <c r="X35" s="43">
        <v>47.830325999999999</v>
      </c>
      <c r="Y35" s="43">
        <v>47.857399000000001</v>
      </c>
      <c r="Z35" s="43">
        <v>47.882041999999998</v>
      </c>
      <c r="AA35" s="43">
        <v>47.909889</v>
      </c>
      <c r="AB35" s="43">
        <v>47.937767000000001</v>
      </c>
      <c r="AC35" s="43">
        <v>47.964343999999997</v>
      </c>
      <c r="AD35" s="43">
        <v>47.995089999999998</v>
      </c>
      <c r="AE35" s="43">
        <v>48.020702</v>
      </c>
      <c r="AF35" s="43">
        <v>48.047966000000002</v>
      </c>
      <c r="AG35" s="43">
        <v>48.075977000000002</v>
      </c>
      <c r="AH35" s="43">
        <v>48.098179000000002</v>
      </c>
      <c r="AI35" s="35">
        <v>2.2260000000000001E-3</v>
      </c>
    </row>
    <row r="36" spans="1:35" ht="15" customHeight="1" x14ac:dyDescent="0.35">
      <c r="A36" s="29" t="s">
        <v>235</v>
      </c>
      <c r="B36" s="33" t="s">
        <v>51</v>
      </c>
      <c r="C36" s="43">
        <v>34.277732999999998</v>
      </c>
      <c r="D36" s="43">
        <v>34.672859000000003</v>
      </c>
      <c r="E36" s="43">
        <v>34.944645000000001</v>
      </c>
      <c r="F36" s="43">
        <v>35.195968999999998</v>
      </c>
      <c r="G36" s="43">
        <v>35.480857999999998</v>
      </c>
      <c r="H36" s="43">
        <v>35.626488000000002</v>
      </c>
      <c r="I36" s="43">
        <v>35.982112999999998</v>
      </c>
      <c r="J36" s="43">
        <v>36.085414999999998</v>
      </c>
      <c r="K36" s="43">
        <v>36.187828000000003</v>
      </c>
      <c r="L36" s="43">
        <v>36.293906999999997</v>
      </c>
      <c r="M36" s="43">
        <v>36.398926000000003</v>
      </c>
      <c r="N36" s="43">
        <v>36.497222999999998</v>
      </c>
      <c r="O36" s="43">
        <v>36.603451</v>
      </c>
      <c r="P36" s="43">
        <v>36.709868999999998</v>
      </c>
      <c r="Q36" s="43">
        <v>36.812472999999997</v>
      </c>
      <c r="R36" s="43">
        <v>36.852939999999997</v>
      </c>
      <c r="S36" s="43">
        <v>36.881897000000002</v>
      </c>
      <c r="T36" s="43">
        <v>36.909855</v>
      </c>
      <c r="U36" s="43">
        <v>36.940886999999996</v>
      </c>
      <c r="V36" s="43">
        <v>36.968688999999998</v>
      </c>
      <c r="W36" s="43">
        <v>36.996043999999998</v>
      </c>
      <c r="X36" s="43">
        <v>37.027721</v>
      </c>
      <c r="Y36" s="43">
        <v>37.057377000000002</v>
      </c>
      <c r="Z36" s="43">
        <v>37.084232</v>
      </c>
      <c r="AA36" s="43">
        <v>37.114395000000002</v>
      </c>
      <c r="AB36" s="43">
        <v>37.144500999999998</v>
      </c>
      <c r="AC36" s="43">
        <v>37.173423999999997</v>
      </c>
      <c r="AD36" s="43">
        <v>37.206612</v>
      </c>
      <c r="AE36" s="43">
        <v>37.234130999999998</v>
      </c>
      <c r="AF36" s="43">
        <v>37.263610999999997</v>
      </c>
      <c r="AG36" s="43">
        <v>37.293700999999999</v>
      </c>
      <c r="AH36" s="43">
        <v>37.318016</v>
      </c>
      <c r="AI36" s="35">
        <v>2.745E-3</v>
      </c>
    </row>
    <row r="37" spans="1:35" ht="15" customHeight="1" x14ac:dyDescent="0.35">
      <c r="A37" s="29" t="s">
        <v>234</v>
      </c>
      <c r="B37" s="33" t="s">
        <v>49</v>
      </c>
      <c r="C37" s="43">
        <v>32.192329000000001</v>
      </c>
      <c r="D37" s="43">
        <v>32.580920999999996</v>
      </c>
      <c r="E37" s="43">
        <v>32.797192000000003</v>
      </c>
      <c r="F37" s="43">
        <v>33.015701</v>
      </c>
      <c r="G37" s="43">
        <v>33.248066000000001</v>
      </c>
      <c r="H37" s="43">
        <v>33.407608000000003</v>
      </c>
      <c r="I37" s="43">
        <v>33.872394999999997</v>
      </c>
      <c r="J37" s="43">
        <v>33.974567</v>
      </c>
      <c r="K37" s="43">
        <v>34.075992999999997</v>
      </c>
      <c r="L37" s="43">
        <v>34.180973000000002</v>
      </c>
      <c r="M37" s="43">
        <v>34.284835999999999</v>
      </c>
      <c r="N37" s="43">
        <v>34.382542000000001</v>
      </c>
      <c r="O37" s="43">
        <v>34.487479999999998</v>
      </c>
      <c r="P37" s="43">
        <v>34.592339000000003</v>
      </c>
      <c r="Q37" s="43">
        <v>34.693480999999998</v>
      </c>
      <c r="R37" s="43">
        <v>34.732590000000002</v>
      </c>
      <c r="S37" s="43">
        <v>34.761127000000002</v>
      </c>
      <c r="T37" s="43">
        <v>34.789391000000002</v>
      </c>
      <c r="U37" s="43">
        <v>34.821891999999998</v>
      </c>
      <c r="V37" s="43">
        <v>34.850726999999999</v>
      </c>
      <c r="W37" s="43">
        <v>34.879134999999998</v>
      </c>
      <c r="X37" s="43">
        <v>34.948475000000002</v>
      </c>
      <c r="Y37" s="43">
        <v>35.031714999999998</v>
      </c>
      <c r="Z37" s="43">
        <v>35.113995000000003</v>
      </c>
      <c r="AA37" s="43">
        <v>35.197155000000002</v>
      </c>
      <c r="AB37" s="43">
        <v>35.279998999999997</v>
      </c>
      <c r="AC37" s="43">
        <v>35.362079999999999</v>
      </c>
      <c r="AD37" s="43">
        <v>35.445670999999997</v>
      </c>
      <c r="AE37" s="43">
        <v>35.527599000000002</v>
      </c>
      <c r="AF37" s="43">
        <v>35.609935999999998</v>
      </c>
      <c r="AG37" s="43">
        <v>35.692611999999997</v>
      </c>
      <c r="AH37" s="43">
        <v>35.769165000000001</v>
      </c>
      <c r="AI37" s="35">
        <v>3.4039999999999999E-3</v>
      </c>
    </row>
    <row r="38" spans="1:35" ht="15" customHeight="1" x14ac:dyDescent="0.35">
      <c r="A38" s="29" t="s">
        <v>233</v>
      </c>
      <c r="B38" s="33" t="s">
        <v>47</v>
      </c>
      <c r="C38" s="43">
        <v>39.125411999999997</v>
      </c>
      <c r="D38" s="43">
        <v>39.513233</v>
      </c>
      <c r="E38" s="43">
        <v>39.742916000000001</v>
      </c>
      <c r="F38" s="43">
        <v>39.961491000000002</v>
      </c>
      <c r="G38" s="43">
        <v>40.190272999999998</v>
      </c>
      <c r="H38" s="43">
        <v>40.341644000000002</v>
      </c>
      <c r="I38" s="43">
        <v>40.670113000000001</v>
      </c>
      <c r="J38" s="43">
        <v>40.770781999999997</v>
      </c>
      <c r="K38" s="43">
        <v>40.870795999999999</v>
      </c>
      <c r="L38" s="43">
        <v>40.974068000000003</v>
      </c>
      <c r="M38" s="43">
        <v>41.076293999999997</v>
      </c>
      <c r="N38" s="43">
        <v>41.173096000000001</v>
      </c>
      <c r="O38" s="43">
        <v>41.276741000000001</v>
      </c>
      <c r="P38" s="43">
        <v>41.379910000000002</v>
      </c>
      <c r="Q38" s="43">
        <v>41.479252000000002</v>
      </c>
      <c r="R38" s="43">
        <v>41.515422999999998</v>
      </c>
      <c r="S38" s="43">
        <v>41.540301999999997</v>
      </c>
      <c r="T38" s="43">
        <v>41.565207999999998</v>
      </c>
      <c r="U38" s="43">
        <v>41.592953000000001</v>
      </c>
      <c r="V38" s="43">
        <v>41.617722000000001</v>
      </c>
      <c r="W38" s="43">
        <v>41.641846000000001</v>
      </c>
      <c r="X38" s="43">
        <v>41.669369000000003</v>
      </c>
      <c r="Y38" s="43">
        <v>41.695030000000003</v>
      </c>
      <c r="Z38" s="43">
        <v>41.718273000000003</v>
      </c>
      <c r="AA38" s="43">
        <v>41.744087</v>
      </c>
      <c r="AB38" s="43">
        <v>41.769725999999999</v>
      </c>
      <c r="AC38" s="43">
        <v>41.794243000000002</v>
      </c>
      <c r="AD38" s="43">
        <v>41.822094</v>
      </c>
      <c r="AE38" s="43">
        <v>41.845317999999999</v>
      </c>
      <c r="AF38" s="43">
        <v>41.870060000000002</v>
      </c>
      <c r="AG38" s="43">
        <v>41.895180000000003</v>
      </c>
      <c r="AH38" s="43">
        <v>41.914433000000002</v>
      </c>
      <c r="AI38" s="35">
        <v>2.2239999999999998E-3</v>
      </c>
    </row>
    <row r="39" spans="1:35" ht="15" customHeight="1" x14ac:dyDescent="0.35">
      <c r="A39" s="29" t="s">
        <v>232</v>
      </c>
      <c r="B39" s="33" t="s">
        <v>45</v>
      </c>
      <c r="C39" s="43">
        <v>0</v>
      </c>
      <c r="D39" s="43">
        <v>0</v>
      </c>
      <c r="E39" s="43">
        <v>0</v>
      </c>
      <c r="F39" s="43">
        <v>0</v>
      </c>
      <c r="G39" s="43">
        <v>0</v>
      </c>
      <c r="H39" s="43">
        <v>0</v>
      </c>
      <c r="I39" s="43">
        <v>0</v>
      </c>
      <c r="J39" s="43">
        <v>0</v>
      </c>
      <c r="K39" s="43">
        <v>0</v>
      </c>
      <c r="L39" s="43">
        <v>0</v>
      </c>
      <c r="M39" s="43">
        <v>0</v>
      </c>
      <c r="N39" s="43">
        <v>0</v>
      </c>
      <c r="O39" s="43">
        <v>0</v>
      </c>
      <c r="P39" s="43">
        <v>0</v>
      </c>
      <c r="Q39" s="43">
        <v>0</v>
      </c>
      <c r="R39" s="43">
        <v>0</v>
      </c>
      <c r="S39" s="43">
        <v>0</v>
      </c>
      <c r="T39" s="43">
        <v>0</v>
      </c>
      <c r="U39" s="43">
        <v>0</v>
      </c>
      <c r="V39" s="43">
        <v>0</v>
      </c>
      <c r="W39" s="43">
        <v>0</v>
      </c>
      <c r="X39" s="43">
        <v>0</v>
      </c>
      <c r="Y39" s="43">
        <v>0</v>
      </c>
      <c r="Z39" s="43">
        <v>0</v>
      </c>
      <c r="AA39" s="43">
        <v>0</v>
      </c>
      <c r="AB39" s="43">
        <v>0</v>
      </c>
      <c r="AC39" s="43">
        <v>0</v>
      </c>
      <c r="AD39" s="43">
        <v>0</v>
      </c>
      <c r="AE39" s="43">
        <v>0</v>
      </c>
      <c r="AF39" s="43">
        <v>0</v>
      </c>
      <c r="AG39" s="43">
        <v>0</v>
      </c>
      <c r="AH39" s="43">
        <v>0</v>
      </c>
      <c r="AI39" s="35" t="s">
        <v>12</v>
      </c>
    </row>
    <row r="40" spans="1:35" ht="15" customHeight="1" x14ac:dyDescent="0.35">
      <c r="A40" s="29" t="s">
        <v>652</v>
      </c>
      <c r="B40" s="33" t="s">
        <v>556</v>
      </c>
      <c r="C40" s="43">
        <v>31.309405999999999</v>
      </c>
      <c r="D40" s="43">
        <v>31.704108999999999</v>
      </c>
      <c r="E40" s="43">
        <v>31.949278</v>
      </c>
      <c r="F40" s="43">
        <v>32.175643999999998</v>
      </c>
      <c r="G40" s="43">
        <v>32.426315000000002</v>
      </c>
      <c r="H40" s="43">
        <v>32.595131000000002</v>
      </c>
      <c r="I40" s="43">
        <v>32.940398999999999</v>
      </c>
      <c r="J40" s="43">
        <v>33.037166999999997</v>
      </c>
      <c r="K40" s="43">
        <v>33.133395999999998</v>
      </c>
      <c r="L40" s="43">
        <v>33.232120999999999</v>
      </c>
      <c r="M40" s="43">
        <v>33.330154</v>
      </c>
      <c r="N40" s="43">
        <v>33.424393000000002</v>
      </c>
      <c r="O40" s="43">
        <v>33.524090000000001</v>
      </c>
      <c r="P40" s="43">
        <v>33.622996999999998</v>
      </c>
      <c r="Q40" s="43">
        <v>33.719284000000002</v>
      </c>
      <c r="R40" s="43">
        <v>33.753132000000001</v>
      </c>
      <c r="S40" s="43">
        <v>33.777023</v>
      </c>
      <c r="T40" s="43">
        <v>33.800776999999997</v>
      </c>
      <c r="U40" s="43">
        <v>33.863971999999997</v>
      </c>
      <c r="V40" s="43">
        <v>33.928688000000001</v>
      </c>
      <c r="W40" s="43">
        <v>34.003943999999997</v>
      </c>
      <c r="X40" s="43">
        <v>34.085735</v>
      </c>
      <c r="Y40" s="43">
        <v>34.167461000000003</v>
      </c>
      <c r="Z40" s="43">
        <v>34.249088</v>
      </c>
      <c r="AA40" s="43">
        <v>34.330790999999998</v>
      </c>
      <c r="AB40" s="43">
        <v>34.412464</v>
      </c>
      <c r="AC40" s="43">
        <v>34.493847000000002</v>
      </c>
      <c r="AD40" s="43">
        <v>34.575530999999998</v>
      </c>
      <c r="AE40" s="43">
        <v>34.657276000000003</v>
      </c>
      <c r="AF40" s="43">
        <v>34.739486999999997</v>
      </c>
      <c r="AG40" s="43">
        <v>34.821865000000003</v>
      </c>
      <c r="AH40" s="43">
        <v>34.897972000000003</v>
      </c>
      <c r="AI40" s="35">
        <v>3.506E-3</v>
      </c>
    </row>
    <row r="41" spans="1:35" ht="15" customHeight="1" x14ac:dyDescent="0.35">
      <c r="A41" s="29" t="s">
        <v>653</v>
      </c>
      <c r="B41" s="33" t="s">
        <v>557</v>
      </c>
      <c r="C41" s="43">
        <v>39.704880000000003</v>
      </c>
      <c r="D41" s="43">
        <v>40.097434999999997</v>
      </c>
      <c r="E41" s="43">
        <v>40.330837000000002</v>
      </c>
      <c r="F41" s="43">
        <v>40.551327000000001</v>
      </c>
      <c r="G41" s="43">
        <v>40.792549000000001</v>
      </c>
      <c r="H41" s="43">
        <v>40.971519000000001</v>
      </c>
      <c r="I41" s="43">
        <v>41.206916999999997</v>
      </c>
      <c r="J41" s="43">
        <v>41.299824000000001</v>
      </c>
      <c r="K41" s="43">
        <v>41.392325999999997</v>
      </c>
      <c r="L41" s="43">
        <v>41.486446000000001</v>
      </c>
      <c r="M41" s="43">
        <v>41.580539999999999</v>
      </c>
      <c r="N41" s="43">
        <v>41.671973999999999</v>
      </c>
      <c r="O41" s="43">
        <v>41.766143999999997</v>
      </c>
      <c r="P41" s="43">
        <v>41.859580999999999</v>
      </c>
      <c r="Q41" s="43">
        <v>41.951191000000001</v>
      </c>
      <c r="R41" s="43">
        <v>41.978512000000002</v>
      </c>
      <c r="S41" s="43">
        <v>41.994045</v>
      </c>
      <c r="T41" s="43">
        <v>42.009211999999998</v>
      </c>
      <c r="U41" s="43">
        <v>42.025649999999999</v>
      </c>
      <c r="V41" s="43">
        <v>42.040759999999999</v>
      </c>
      <c r="W41" s="43">
        <v>42.055500000000002</v>
      </c>
      <c r="X41" s="43">
        <v>42.071860999999998</v>
      </c>
      <c r="Y41" s="43">
        <v>42.087364000000001</v>
      </c>
      <c r="Z41" s="43">
        <v>42.101711000000002</v>
      </c>
      <c r="AA41" s="43">
        <v>42.117336000000002</v>
      </c>
      <c r="AB41" s="43">
        <v>42.133105999999998</v>
      </c>
      <c r="AC41" s="43">
        <v>42.148586000000002</v>
      </c>
      <c r="AD41" s="43">
        <v>42.165512</v>
      </c>
      <c r="AE41" s="43">
        <v>42.180171999999999</v>
      </c>
      <c r="AF41" s="43">
        <v>42.195785999999998</v>
      </c>
      <c r="AG41" s="43">
        <v>42.211463999999999</v>
      </c>
      <c r="AH41" s="43">
        <v>42.221218</v>
      </c>
      <c r="AI41" s="35">
        <v>1.9840000000000001E-3</v>
      </c>
    </row>
    <row r="42" spans="1:35" ht="15" customHeight="1" x14ac:dyDescent="0.35">
      <c r="A42" s="29" t="s">
        <v>231</v>
      </c>
      <c r="B42" s="33" t="s">
        <v>43</v>
      </c>
      <c r="C42" s="43">
        <v>38.932499</v>
      </c>
      <c r="D42" s="43">
        <v>39.403492</v>
      </c>
      <c r="E42" s="43">
        <v>39.726551000000001</v>
      </c>
      <c r="F42" s="43">
        <v>39.997540000000001</v>
      </c>
      <c r="G42" s="43">
        <v>40.191215999999997</v>
      </c>
      <c r="H42" s="43">
        <v>40.482464</v>
      </c>
      <c r="I42" s="43">
        <v>40.828049</v>
      </c>
      <c r="J42" s="43">
        <v>40.917876999999997</v>
      </c>
      <c r="K42" s="43">
        <v>41.007370000000002</v>
      </c>
      <c r="L42" s="43">
        <v>41.097583999999998</v>
      </c>
      <c r="M42" s="43">
        <v>41.187457999999999</v>
      </c>
      <c r="N42" s="43">
        <v>41.275658</v>
      </c>
      <c r="O42" s="43">
        <v>41.365490000000001</v>
      </c>
      <c r="P42" s="43">
        <v>41.455215000000003</v>
      </c>
      <c r="Q42" s="43">
        <v>41.543880000000001</v>
      </c>
      <c r="R42" s="43">
        <v>41.568871000000001</v>
      </c>
      <c r="S42" s="43">
        <v>41.581310000000002</v>
      </c>
      <c r="T42" s="43">
        <v>41.592846000000002</v>
      </c>
      <c r="U42" s="43">
        <v>41.605431000000003</v>
      </c>
      <c r="V42" s="43">
        <v>41.618243999999997</v>
      </c>
      <c r="W42" s="43">
        <v>41.631526999999998</v>
      </c>
      <c r="X42" s="43">
        <v>41.646045999999998</v>
      </c>
      <c r="Y42" s="43">
        <v>41.659927000000003</v>
      </c>
      <c r="Z42" s="43">
        <v>41.672950999999998</v>
      </c>
      <c r="AA42" s="43">
        <v>41.686942999999999</v>
      </c>
      <c r="AB42" s="43">
        <v>41.700878000000003</v>
      </c>
      <c r="AC42" s="43">
        <v>41.734589</v>
      </c>
      <c r="AD42" s="43">
        <v>41.772480000000002</v>
      </c>
      <c r="AE42" s="43">
        <v>41.809382999999997</v>
      </c>
      <c r="AF42" s="43">
        <v>41.846660999999997</v>
      </c>
      <c r="AG42" s="43">
        <v>41.883957000000002</v>
      </c>
      <c r="AH42" s="43">
        <v>41.915142000000003</v>
      </c>
      <c r="AI42" s="35">
        <v>2.3839999999999998E-3</v>
      </c>
    </row>
    <row r="43" spans="1:35" ht="15" customHeight="1" x14ac:dyDescent="0.35">
      <c r="A43" s="29" t="s">
        <v>230</v>
      </c>
      <c r="B43" s="33" t="s">
        <v>41</v>
      </c>
      <c r="C43" s="43">
        <v>44.069083999999997</v>
      </c>
      <c r="D43" s="43">
        <v>44.499130000000001</v>
      </c>
      <c r="E43" s="43">
        <v>44.782116000000002</v>
      </c>
      <c r="F43" s="43">
        <v>44.960082999999997</v>
      </c>
      <c r="G43" s="43">
        <v>45.132420000000003</v>
      </c>
      <c r="H43" s="43">
        <v>45.414867000000001</v>
      </c>
      <c r="I43" s="43">
        <v>45.769092999999998</v>
      </c>
      <c r="J43" s="43">
        <v>45.862552999999998</v>
      </c>
      <c r="K43" s="43">
        <v>45.955424999999998</v>
      </c>
      <c r="L43" s="43">
        <v>46.049767000000003</v>
      </c>
      <c r="M43" s="43">
        <v>46.143551000000002</v>
      </c>
      <c r="N43" s="43">
        <v>46.234496999999998</v>
      </c>
      <c r="O43" s="43">
        <v>46.328552000000002</v>
      </c>
      <c r="P43" s="43">
        <v>46.422446999999998</v>
      </c>
      <c r="Q43" s="43">
        <v>46.514454000000001</v>
      </c>
      <c r="R43" s="43">
        <v>46.542575999999997</v>
      </c>
      <c r="S43" s="43">
        <v>46.558467999999998</v>
      </c>
      <c r="T43" s="43">
        <v>46.573765000000002</v>
      </c>
      <c r="U43" s="43">
        <v>46.590862000000001</v>
      </c>
      <c r="V43" s="43">
        <v>46.606532999999999</v>
      </c>
      <c r="W43" s="43">
        <v>46.622172999999997</v>
      </c>
      <c r="X43" s="43">
        <v>46.639930999999997</v>
      </c>
      <c r="Y43" s="43">
        <v>46.656852999999998</v>
      </c>
      <c r="Z43" s="43">
        <v>46.672629999999998</v>
      </c>
      <c r="AA43" s="43">
        <v>46.690029000000003</v>
      </c>
      <c r="AB43" s="43">
        <v>46.707400999999997</v>
      </c>
      <c r="AC43" s="43">
        <v>46.724322999999998</v>
      </c>
      <c r="AD43" s="43">
        <v>46.743144999999998</v>
      </c>
      <c r="AE43" s="43">
        <v>46.759318999999998</v>
      </c>
      <c r="AF43" s="43">
        <v>46.795551000000003</v>
      </c>
      <c r="AG43" s="43">
        <v>46.835411000000001</v>
      </c>
      <c r="AH43" s="43">
        <v>46.869171000000001</v>
      </c>
      <c r="AI43" s="35">
        <v>1.9889999999999999E-3</v>
      </c>
    </row>
    <row r="44" spans="1:35" ht="15" customHeight="1" x14ac:dyDescent="0.35">
      <c r="A44" s="29" t="s">
        <v>229</v>
      </c>
      <c r="B44" s="33" t="s">
        <v>39</v>
      </c>
      <c r="C44" s="43">
        <v>38.921016999999999</v>
      </c>
      <c r="D44" s="43">
        <v>39.366405</v>
      </c>
      <c r="E44" s="43">
        <v>39.675041</v>
      </c>
      <c r="F44" s="43">
        <v>39.862952999999997</v>
      </c>
      <c r="G44" s="43">
        <v>40.016167000000003</v>
      </c>
      <c r="H44" s="43">
        <v>40.239230999999997</v>
      </c>
      <c r="I44" s="43">
        <v>40.442799000000001</v>
      </c>
      <c r="J44" s="43">
        <v>40.531086000000002</v>
      </c>
      <c r="K44" s="43">
        <v>40.618954000000002</v>
      </c>
      <c r="L44" s="43">
        <v>40.707169</v>
      </c>
      <c r="M44" s="43">
        <v>40.795113000000001</v>
      </c>
      <c r="N44" s="43">
        <v>40.881863000000003</v>
      </c>
      <c r="O44" s="43">
        <v>40.969368000000003</v>
      </c>
      <c r="P44" s="43">
        <v>41.056663999999998</v>
      </c>
      <c r="Q44" s="43">
        <v>41.143177000000001</v>
      </c>
      <c r="R44" s="43">
        <v>41.165691000000002</v>
      </c>
      <c r="S44" s="43">
        <v>41.175598000000001</v>
      </c>
      <c r="T44" s="43">
        <v>41.185161999999998</v>
      </c>
      <c r="U44" s="43">
        <v>41.195315999999998</v>
      </c>
      <c r="V44" s="43">
        <v>41.205325999999999</v>
      </c>
      <c r="W44" s="43">
        <v>41.215865999999998</v>
      </c>
      <c r="X44" s="43">
        <v>41.226795000000003</v>
      </c>
      <c r="Y44" s="43">
        <v>41.237197999999999</v>
      </c>
      <c r="Z44" s="43">
        <v>41.246937000000003</v>
      </c>
      <c r="AA44" s="43">
        <v>41.257129999999997</v>
      </c>
      <c r="AB44" s="43">
        <v>41.267246</v>
      </c>
      <c r="AC44" s="43">
        <v>41.277225000000001</v>
      </c>
      <c r="AD44" s="43">
        <v>41.287663000000002</v>
      </c>
      <c r="AE44" s="43">
        <v>41.297195000000002</v>
      </c>
      <c r="AF44" s="43">
        <v>41.30706</v>
      </c>
      <c r="AG44" s="43">
        <v>41.316952000000001</v>
      </c>
      <c r="AH44" s="43">
        <v>41.320728000000003</v>
      </c>
      <c r="AI44" s="35">
        <v>1.9319999999999999E-3</v>
      </c>
    </row>
    <row r="45" spans="1:35" ht="15" customHeight="1" x14ac:dyDescent="0.35">
      <c r="A45" s="29" t="s">
        <v>228</v>
      </c>
      <c r="B45" s="33" t="s">
        <v>37</v>
      </c>
      <c r="C45" s="43">
        <v>37.223182999999999</v>
      </c>
      <c r="D45" s="43">
        <v>37.694901000000002</v>
      </c>
      <c r="E45" s="43">
        <v>38.087578000000001</v>
      </c>
      <c r="F45" s="43">
        <v>38.338405999999999</v>
      </c>
      <c r="G45" s="43">
        <v>38.591175</v>
      </c>
      <c r="H45" s="43">
        <v>38.928024000000001</v>
      </c>
      <c r="I45" s="43">
        <v>39.103713999999997</v>
      </c>
      <c r="J45" s="43">
        <v>39.192528000000003</v>
      </c>
      <c r="K45" s="43">
        <v>39.280804000000003</v>
      </c>
      <c r="L45" s="43">
        <v>39.369495000000001</v>
      </c>
      <c r="M45" s="43">
        <v>39.457709999999999</v>
      </c>
      <c r="N45" s="43">
        <v>39.544547999999999</v>
      </c>
      <c r="O45" s="43">
        <v>39.632491999999999</v>
      </c>
      <c r="P45" s="43">
        <v>39.720261000000001</v>
      </c>
      <c r="Q45" s="43">
        <v>39.807056000000003</v>
      </c>
      <c r="R45" s="43">
        <v>39.829044000000003</v>
      </c>
      <c r="S45" s="43">
        <v>39.838509000000002</v>
      </c>
      <c r="T45" s="43">
        <v>39.847957999999998</v>
      </c>
      <c r="U45" s="43">
        <v>39.858581999999998</v>
      </c>
      <c r="V45" s="43">
        <v>39.868889000000003</v>
      </c>
      <c r="W45" s="43">
        <v>39.879055000000001</v>
      </c>
      <c r="X45" s="43">
        <v>39.890179000000003</v>
      </c>
      <c r="Y45" s="43">
        <v>39.901004999999998</v>
      </c>
      <c r="Z45" s="43">
        <v>39.911239999999999</v>
      </c>
      <c r="AA45" s="43">
        <v>39.922145999999998</v>
      </c>
      <c r="AB45" s="43">
        <v>39.933044000000002</v>
      </c>
      <c r="AC45" s="43">
        <v>39.943623000000002</v>
      </c>
      <c r="AD45" s="43">
        <v>39.955165999999998</v>
      </c>
      <c r="AE45" s="43">
        <v>39.965617999999999</v>
      </c>
      <c r="AF45" s="43">
        <v>39.976421000000002</v>
      </c>
      <c r="AG45" s="43">
        <v>39.987442000000001</v>
      </c>
      <c r="AH45" s="43">
        <v>39.992359</v>
      </c>
      <c r="AI45" s="35">
        <v>2.317E-3</v>
      </c>
    </row>
    <row r="46" spans="1:35" ht="15" customHeight="1" x14ac:dyDescent="0.35">
      <c r="A46" s="29" t="s">
        <v>227</v>
      </c>
      <c r="B46" s="33" t="s">
        <v>35</v>
      </c>
      <c r="C46" s="43">
        <v>41.988644000000001</v>
      </c>
      <c r="D46" s="43">
        <v>42.493262999999999</v>
      </c>
      <c r="E46" s="43">
        <v>42.909492</v>
      </c>
      <c r="F46" s="43">
        <v>43.217762</v>
      </c>
      <c r="G46" s="43">
        <v>43.505470000000003</v>
      </c>
      <c r="H46" s="43">
        <v>43.866871000000003</v>
      </c>
      <c r="I46" s="43">
        <v>44.052424999999999</v>
      </c>
      <c r="J46" s="43">
        <v>44.142207999999997</v>
      </c>
      <c r="K46" s="43">
        <v>44.231749999999998</v>
      </c>
      <c r="L46" s="43">
        <v>44.322215999999997</v>
      </c>
      <c r="M46" s="43">
        <v>44.412230999999998</v>
      </c>
      <c r="N46" s="43">
        <v>44.499797999999998</v>
      </c>
      <c r="O46" s="43">
        <v>44.588425000000001</v>
      </c>
      <c r="P46" s="43">
        <v>44.676785000000002</v>
      </c>
      <c r="Q46" s="43">
        <v>44.764088000000001</v>
      </c>
      <c r="R46" s="43">
        <v>44.787154999999998</v>
      </c>
      <c r="S46" s="43">
        <v>44.797794000000003</v>
      </c>
      <c r="T46" s="43">
        <v>44.809269</v>
      </c>
      <c r="U46" s="43">
        <v>44.821724000000003</v>
      </c>
      <c r="V46" s="43">
        <v>44.833407999999999</v>
      </c>
      <c r="W46" s="43">
        <v>44.844932999999997</v>
      </c>
      <c r="X46" s="43">
        <v>44.857624000000001</v>
      </c>
      <c r="Y46" s="43">
        <v>44.869880999999999</v>
      </c>
      <c r="Z46" s="43">
        <v>44.881390000000003</v>
      </c>
      <c r="AA46" s="43">
        <v>44.893760999999998</v>
      </c>
      <c r="AB46" s="43">
        <v>44.906097000000003</v>
      </c>
      <c r="AC46" s="43">
        <v>44.918125000000003</v>
      </c>
      <c r="AD46" s="43">
        <v>44.931305000000002</v>
      </c>
      <c r="AE46" s="43">
        <v>44.943049999999999</v>
      </c>
      <c r="AF46" s="43">
        <v>44.955317999999998</v>
      </c>
      <c r="AG46" s="43">
        <v>44.967781000000002</v>
      </c>
      <c r="AH46" s="43">
        <v>44.974196999999997</v>
      </c>
      <c r="AI46" s="35">
        <v>2.2179999999999999E-3</v>
      </c>
    </row>
    <row r="47" spans="1:35" ht="15" customHeight="1" x14ac:dyDescent="0.35">
      <c r="A47" s="29" t="s">
        <v>226</v>
      </c>
      <c r="B47" s="33" t="s">
        <v>33</v>
      </c>
      <c r="C47" s="43">
        <v>68.650818000000001</v>
      </c>
      <c r="D47" s="43">
        <v>69.082825</v>
      </c>
      <c r="E47" s="43">
        <v>69.364165999999997</v>
      </c>
      <c r="F47" s="43">
        <v>69.555244000000002</v>
      </c>
      <c r="G47" s="43">
        <v>69.737258999999995</v>
      </c>
      <c r="H47" s="43">
        <v>70.087967000000006</v>
      </c>
      <c r="I47" s="43">
        <v>70.560851999999997</v>
      </c>
      <c r="J47" s="43">
        <v>70.651572999999999</v>
      </c>
      <c r="K47" s="43">
        <v>70.742203000000003</v>
      </c>
      <c r="L47" s="43">
        <v>70.833740000000006</v>
      </c>
      <c r="M47" s="43">
        <v>70.924751000000001</v>
      </c>
      <c r="N47" s="43">
        <v>71.013649000000001</v>
      </c>
      <c r="O47" s="43">
        <v>71.104766999999995</v>
      </c>
      <c r="P47" s="43">
        <v>71.195862000000005</v>
      </c>
      <c r="Q47" s="43">
        <v>71.285988000000003</v>
      </c>
      <c r="R47" s="43">
        <v>71.311310000000006</v>
      </c>
      <c r="S47" s="43">
        <v>71.324730000000002</v>
      </c>
      <c r="T47" s="43">
        <v>71.337935999999999</v>
      </c>
      <c r="U47" s="43">
        <v>71.352478000000005</v>
      </c>
      <c r="V47" s="43">
        <v>71.366219000000001</v>
      </c>
      <c r="W47" s="43">
        <v>71.379943999999995</v>
      </c>
      <c r="X47" s="43">
        <v>71.395392999999999</v>
      </c>
      <c r="Y47" s="43">
        <v>71.410315999999995</v>
      </c>
      <c r="Z47" s="43">
        <v>71.424400000000006</v>
      </c>
      <c r="AA47" s="43">
        <v>71.439751000000001</v>
      </c>
      <c r="AB47" s="43">
        <v>71.455146999999997</v>
      </c>
      <c r="AC47" s="43">
        <v>71.470168999999999</v>
      </c>
      <c r="AD47" s="43">
        <v>71.501616999999996</v>
      </c>
      <c r="AE47" s="43">
        <v>71.556579999999997</v>
      </c>
      <c r="AF47" s="43">
        <v>71.611771000000005</v>
      </c>
      <c r="AG47" s="43">
        <v>71.666984999999997</v>
      </c>
      <c r="AH47" s="43">
        <v>71.716042000000002</v>
      </c>
      <c r="AI47" s="35">
        <v>1.41E-3</v>
      </c>
    </row>
    <row r="48" spans="1:35" ht="15" customHeight="1" x14ac:dyDescent="0.35">
      <c r="A48" s="29" t="s">
        <v>654</v>
      </c>
      <c r="B48" s="33" t="s">
        <v>558</v>
      </c>
      <c r="C48" s="43">
        <v>36.353912000000001</v>
      </c>
      <c r="D48" s="43">
        <v>36.478535000000001</v>
      </c>
      <c r="E48" s="43">
        <v>36.508792999999997</v>
      </c>
      <c r="F48" s="43">
        <v>36.602950999999997</v>
      </c>
      <c r="G48" s="43">
        <v>36.784095999999998</v>
      </c>
      <c r="H48" s="43">
        <v>37.009556000000003</v>
      </c>
      <c r="I48" s="43">
        <v>37.385204000000002</v>
      </c>
      <c r="J48" s="43">
        <v>37.525337</v>
      </c>
      <c r="K48" s="43">
        <v>37.636474999999997</v>
      </c>
      <c r="L48" s="43">
        <v>37.767001999999998</v>
      </c>
      <c r="M48" s="43">
        <v>37.879573999999998</v>
      </c>
      <c r="N48" s="43">
        <v>37.987160000000003</v>
      </c>
      <c r="O48" s="43">
        <v>38.118155999999999</v>
      </c>
      <c r="P48" s="43">
        <v>38.238067999999998</v>
      </c>
      <c r="Q48" s="43">
        <v>38.360435000000003</v>
      </c>
      <c r="R48" s="43">
        <v>38.414237999999997</v>
      </c>
      <c r="S48" s="43">
        <v>38.463039000000002</v>
      </c>
      <c r="T48" s="43">
        <v>38.509140000000002</v>
      </c>
      <c r="U48" s="43">
        <v>38.564812000000003</v>
      </c>
      <c r="V48" s="43">
        <v>38.608707000000003</v>
      </c>
      <c r="W48" s="43">
        <v>38.653922999999999</v>
      </c>
      <c r="X48" s="43">
        <v>38.698813999999999</v>
      </c>
      <c r="Y48" s="43">
        <v>38.730742999999997</v>
      </c>
      <c r="Z48" s="43">
        <v>38.766029000000003</v>
      </c>
      <c r="AA48" s="43">
        <v>38.798209999999997</v>
      </c>
      <c r="AB48" s="43">
        <v>38.829239000000001</v>
      </c>
      <c r="AC48" s="43">
        <v>38.885795999999999</v>
      </c>
      <c r="AD48" s="43">
        <v>38.942101000000001</v>
      </c>
      <c r="AE48" s="43">
        <v>39.002457</v>
      </c>
      <c r="AF48" s="43">
        <v>39.068587999999998</v>
      </c>
      <c r="AG48" s="43">
        <v>39.136139</v>
      </c>
      <c r="AH48" s="43">
        <v>39.198569999999997</v>
      </c>
      <c r="AI48" s="35">
        <v>2.4329999999999998E-3</v>
      </c>
    </row>
    <row r="49" spans="1:35" ht="15" customHeight="1" x14ac:dyDescent="0.35">
      <c r="A49" s="29" t="s">
        <v>655</v>
      </c>
      <c r="B49" s="33" t="s">
        <v>559</v>
      </c>
      <c r="C49" s="43">
        <v>47.684649999999998</v>
      </c>
      <c r="D49" s="43">
        <v>47.846007999999998</v>
      </c>
      <c r="E49" s="43">
        <v>47.940071000000003</v>
      </c>
      <c r="F49" s="43">
        <v>48.015503000000002</v>
      </c>
      <c r="G49" s="43">
        <v>48.232013999999999</v>
      </c>
      <c r="H49" s="43">
        <v>48.847099</v>
      </c>
      <c r="I49" s="43">
        <v>49.138412000000002</v>
      </c>
      <c r="J49" s="43">
        <v>49.248482000000003</v>
      </c>
      <c r="K49" s="43">
        <v>49.337128</v>
      </c>
      <c r="L49" s="43">
        <v>49.459778</v>
      </c>
      <c r="M49" s="43">
        <v>49.560637999999997</v>
      </c>
      <c r="N49" s="43">
        <v>49.65316</v>
      </c>
      <c r="O49" s="43">
        <v>49.776226000000001</v>
      </c>
      <c r="P49" s="43">
        <v>49.882641</v>
      </c>
      <c r="Q49" s="43">
        <v>49.99004</v>
      </c>
      <c r="R49" s="43">
        <v>50.022083000000002</v>
      </c>
      <c r="S49" s="43">
        <v>50.053646000000001</v>
      </c>
      <c r="T49" s="43">
        <v>50.082259999999998</v>
      </c>
      <c r="U49" s="43">
        <v>50.116397999999997</v>
      </c>
      <c r="V49" s="43">
        <v>50.133929999999999</v>
      </c>
      <c r="W49" s="43">
        <v>50.153931</v>
      </c>
      <c r="X49" s="43">
        <v>50.174644000000001</v>
      </c>
      <c r="Y49" s="43">
        <v>50.196941000000002</v>
      </c>
      <c r="Z49" s="43">
        <v>50.222202000000003</v>
      </c>
      <c r="AA49" s="43">
        <v>50.245368999999997</v>
      </c>
      <c r="AB49" s="43">
        <v>50.267077999999998</v>
      </c>
      <c r="AC49" s="43">
        <v>50.292090999999999</v>
      </c>
      <c r="AD49" s="43">
        <v>50.307212999999997</v>
      </c>
      <c r="AE49" s="43">
        <v>50.313930999999997</v>
      </c>
      <c r="AF49" s="43">
        <v>50.329998000000003</v>
      </c>
      <c r="AG49" s="43">
        <v>50.347599000000002</v>
      </c>
      <c r="AH49" s="43">
        <v>50.360259999999997</v>
      </c>
      <c r="AI49" s="35">
        <v>1.763E-3</v>
      </c>
    </row>
    <row r="51" spans="1:35" ht="15" customHeight="1" x14ac:dyDescent="0.35">
      <c r="A51" s="25"/>
      <c r="B51" s="32" t="s">
        <v>225</v>
      </c>
      <c r="C51" s="25"/>
      <c r="D51" s="25"/>
      <c r="E51" s="25"/>
      <c r="F51" s="25"/>
      <c r="G51" s="25"/>
      <c r="H51" s="25"/>
      <c r="I51" s="25"/>
      <c r="J51" s="25"/>
      <c r="K51" s="25"/>
      <c r="L51" s="25"/>
      <c r="M51" s="25"/>
      <c r="N51" s="25"/>
      <c r="O51" s="25"/>
      <c r="P51" s="25"/>
      <c r="Q51" s="25"/>
      <c r="R51" s="25"/>
      <c r="S51" s="25"/>
      <c r="T51" s="25"/>
      <c r="U51" s="25"/>
      <c r="V51" s="25"/>
      <c r="W51" s="25"/>
      <c r="X51" s="25"/>
      <c r="Y51" s="25"/>
      <c r="Z51" s="25"/>
      <c r="AA51" s="25"/>
      <c r="AB51" s="25"/>
      <c r="AC51" s="25"/>
      <c r="AD51" s="25"/>
      <c r="AE51" s="25"/>
      <c r="AF51" s="25"/>
      <c r="AG51" s="25"/>
      <c r="AH51" s="25"/>
      <c r="AI51" s="25"/>
    </row>
    <row r="52" spans="1:35" ht="15" customHeight="1" x14ac:dyDescent="0.35">
      <c r="A52" s="29" t="s">
        <v>224</v>
      </c>
      <c r="B52" s="33" t="s">
        <v>55</v>
      </c>
      <c r="C52" s="43">
        <v>0</v>
      </c>
      <c r="D52" s="43">
        <v>0</v>
      </c>
      <c r="E52" s="43">
        <v>0</v>
      </c>
      <c r="F52" s="43">
        <v>0</v>
      </c>
      <c r="G52" s="43">
        <v>0</v>
      </c>
      <c r="H52" s="43">
        <v>0</v>
      </c>
      <c r="I52" s="43">
        <v>0</v>
      </c>
      <c r="J52" s="43">
        <v>0</v>
      </c>
      <c r="K52" s="43">
        <v>0</v>
      </c>
      <c r="L52" s="43">
        <v>0</v>
      </c>
      <c r="M52" s="43">
        <v>0</v>
      </c>
      <c r="N52" s="43">
        <v>0</v>
      </c>
      <c r="O52" s="43">
        <v>0</v>
      </c>
      <c r="P52" s="43">
        <v>0</v>
      </c>
      <c r="Q52" s="43">
        <v>0</v>
      </c>
      <c r="R52" s="43">
        <v>0</v>
      </c>
      <c r="S52" s="43">
        <v>0</v>
      </c>
      <c r="T52" s="43">
        <v>0</v>
      </c>
      <c r="U52" s="43">
        <v>0</v>
      </c>
      <c r="V52" s="43">
        <v>0</v>
      </c>
      <c r="W52" s="43">
        <v>0</v>
      </c>
      <c r="X52" s="43">
        <v>0</v>
      </c>
      <c r="Y52" s="43">
        <v>0</v>
      </c>
      <c r="Z52" s="43">
        <v>0</v>
      </c>
      <c r="AA52" s="43">
        <v>0</v>
      </c>
      <c r="AB52" s="43">
        <v>0</v>
      </c>
      <c r="AC52" s="43">
        <v>0</v>
      </c>
      <c r="AD52" s="43">
        <v>0</v>
      </c>
      <c r="AE52" s="43">
        <v>0</v>
      </c>
      <c r="AF52" s="43">
        <v>0</v>
      </c>
      <c r="AG52" s="43">
        <v>0</v>
      </c>
      <c r="AH52" s="43">
        <v>0</v>
      </c>
      <c r="AI52" s="35" t="s">
        <v>12</v>
      </c>
    </row>
    <row r="53" spans="1:35" ht="15" customHeight="1" x14ac:dyDescent="0.35">
      <c r="A53" s="29" t="s">
        <v>223</v>
      </c>
      <c r="B53" s="33" t="s">
        <v>53</v>
      </c>
      <c r="C53" s="43">
        <v>0</v>
      </c>
      <c r="D53" s="43">
        <v>0</v>
      </c>
      <c r="E53" s="43">
        <v>0</v>
      </c>
      <c r="F53" s="43">
        <v>0</v>
      </c>
      <c r="G53" s="43">
        <v>0</v>
      </c>
      <c r="H53" s="43">
        <v>0</v>
      </c>
      <c r="I53" s="43">
        <v>49.850879999999997</v>
      </c>
      <c r="J53" s="43">
        <v>49.736153000000002</v>
      </c>
      <c r="K53" s="43">
        <v>49.631217999999997</v>
      </c>
      <c r="L53" s="43">
        <v>49.554015999999997</v>
      </c>
      <c r="M53" s="43">
        <v>49.503712</v>
      </c>
      <c r="N53" s="43">
        <v>49.474238999999997</v>
      </c>
      <c r="O53" s="43">
        <v>49.473540999999997</v>
      </c>
      <c r="P53" s="43">
        <v>49.492725</v>
      </c>
      <c r="Q53" s="43">
        <v>49.523983000000001</v>
      </c>
      <c r="R53" s="43">
        <v>49.502991000000002</v>
      </c>
      <c r="S53" s="43">
        <v>49.479129999999998</v>
      </c>
      <c r="T53" s="43">
        <v>49.461136000000003</v>
      </c>
      <c r="U53" s="43">
        <v>49.450657</v>
      </c>
      <c r="V53" s="43">
        <v>49.441654</v>
      </c>
      <c r="W53" s="43">
        <v>49.435687999999999</v>
      </c>
      <c r="X53" s="43">
        <v>49.435389999999998</v>
      </c>
      <c r="Y53" s="43">
        <v>49.458649000000001</v>
      </c>
      <c r="Z53" s="43">
        <v>49.479725000000002</v>
      </c>
      <c r="AA53" s="43">
        <v>49.503459999999997</v>
      </c>
      <c r="AB53" s="43">
        <v>49.527217999999998</v>
      </c>
      <c r="AC53" s="43">
        <v>49.549937999999997</v>
      </c>
      <c r="AD53" s="43">
        <v>49.576053999999999</v>
      </c>
      <c r="AE53" s="43">
        <v>49.597819999999999</v>
      </c>
      <c r="AF53" s="43">
        <v>49.620865000000002</v>
      </c>
      <c r="AG53" s="43">
        <v>49.644553999999999</v>
      </c>
      <c r="AH53" s="43">
        <v>49.662350000000004</v>
      </c>
      <c r="AI53" s="35" t="s">
        <v>12</v>
      </c>
    </row>
    <row r="54" spans="1:35" ht="15" customHeight="1" x14ac:dyDescent="0.35">
      <c r="A54" s="29" t="s">
        <v>222</v>
      </c>
      <c r="B54" s="33" t="s">
        <v>51</v>
      </c>
      <c r="C54" s="43">
        <v>38.180129999999998</v>
      </c>
      <c r="D54" s="43">
        <v>38.308624000000002</v>
      </c>
      <c r="E54" s="43">
        <v>38.388710000000003</v>
      </c>
      <c r="F54" s="43">
        <v>38.520111</v>
      </c>
      <c r="G54" s="43">
        <v>38.551825999999998</v>
      </c>
      <c r="H54" s="43">
        <v>38.449294999999999</v>
      </c>
      <c r="I54" s="43">
        <v>38.874344000000001</v>
      </c>
      <c r="J54" s="43">
        <v>38.774292000000003</v>
      </c>
      <c r="K54" s="43">
        <v>38.672362999999997</v>
      </c>
      <c r="L54" s="43">
        <v>38.598221000000002</v>
      </c>
      <c r="M54" s="43">
        <v>38.551372999999998</v>
      </c>
      <c r="N54" s="43">
        <v>38.525039999999997</v>
      </c>
      <c r="O54" s="43">
        <v>38.528815999999999</v>
      </c>
      <c r="P54" s="43">
        <v>38.551913999999996</v>
      </c>
      <c r="Q54" s="43">
        <v>38.586632000000002</v>
      </c>
      <c r="R54" s="43">
        <v>38.570296999999997</v>
      </c>
      <c r="S54" s="43">
        <v>38.551513999999997</v>
      </c>
      <c r="T54" s="43">
        <v>38.538482999999999</v>
      </c>
      <c r="U54" s="43">
        <v>38.532448000000002</v>
      </c>
      <c r="V54" s="43">
        <v>38.527504</v>
      </c>
      <c r="W54" s="43">
        <v>38.525531999999998</v>
      </c>
      <c r="X54" s="43">
        <v>38.529812</v>
      </c>
      <c r="Y54" s="43">
        <v>38.555861999999998</v>
      </c>
      <c r="Z54" s="43">
        <v>38.579369</v>
      </c>
      <c r="AA54" s="43">
        <v>38.605843</v>
      </c>
      <c r="AB54" s="43">
        <v>38.632396999999997</v>
      </c>
      <c r="AC54" s="43">
        <v>38.657963000000002</v>
      </c>
      <c r="AD54" s="43">
        <v>38.687286</v>
      </c>
      <c r="AE54" s="43">
        <v>38.711590000000001</v>
      </c>
      <c r="AF54" s="43">
        <v>38.737423</v>
      </c>
      <c r="AG54" s="43">
        <v>38.763869999999997</v>
      </c>
      <c r="AH54" s="43">
        <v>38.784534000000001</v>
      </c>
      <c r="AI54" s="35">
        <v>5.0699999999999996E-4</v>
      </c>
    </row>
    <row r="55" spans="1:35" ht="15" customHeight="1" x14ac:dyDescent="0.35">
      <c r="A55" s="29" t="s">
        <v>221</v>
      </c>
      <c r="B55" s="33" t="s">
        <v>49</v>
      </c>
      <c r="C55" s="43">
        <v>37.781334000000001</v>
      </c>
      <c r="D55" s="43">
        <v>37.875996000000001</v>
      </c>
      <c r="E55" s="43">
        <v>37.867621999999997</v>
      </c>
      <c r="F55" s="43">
        <v>37.880043000000001</v>
      </c>
      <c r="G55" s="43">
        <v>37.795437</v>
      </c>
      <c r="H55" s="43">
        <v>37.653858</v>
      </c>
      <c r="I55" s="43">
        <v>38.299346999999997</v>
      </c>
      <c r="J55" s="43">
        <v>38.155662999999997</v>
      </c>
      <c r="K55" s="43">
        <v>38.010219999999997</v>
      </c>
      <c r="L55" s="43">
        <v>37.897723999999997</v>
      </c>
      <c r="M55" s="43">
        <v>37.818001000000002</v>
      </c>
      <c r="N55" s="43">
        <v>37.765765999999999</v>
      </c>
      <c r="O55" s="43">
        <v>37.748767999999998</v>
      </c>
      <c r="P55" s="43">
        <v>37.755549999999999</v>
      </c>
      <c r="Q55" s="43">
        <v>37.777434999999997</v>
      </c>
      <c r="R55" s="43">
        <v>37.749802000000003</v>
      </c>
      <c r="S55" s="43">
        <v>37.722172</v>
      </c>
      <c r="T55" s="43">
        <v>37.701332000000001</v>
      </c>
      <c r="U55" s="43">
        <v>37.688338999999999</v>
      </c>
      <c r="V55" s="43">
        <v>37.676945000000003</v>
      </c>
      <c r="W55" s="43">
        <v>37.668757999999997</v>
      </c>
      <c r="X55" s="43">
        <v>37.666221999999998</v>
      </c>
      <c r="Y55" s="43">
        <v>37.689292999999999</v>
      </c>
      <c r="Z55" s="43">
        <v>37.71011</v>
      </c>
      <c r="AA55" s="43">
        <v>37.733387</v>
      </c>
      <c r="AB55" s="43">
        <v>37.756625999999997</v>
      </c>
      <c r="AC55" s="43">
        <v>37.778979999999997</v>
      </c>
      <c r="AD55" s="43">
        <v>37.804400999999999</v>
      </c>
      <c r="AE55" s="43">
        <v>37.82555</v>
      </c>
      <c r="AF55" s="43">
        <v>37.848038000000003</v>
      </c>
      <c r="AG55" s="43">
        <v>37.870902999999998</v>
      </c>
      <c r="AH55" s="43">
        <v>37.887974</v>
      </c>
      <c r="AI55" s="35">
        <v>9.1000000000000003E-5</v>
      </c>
    </row>
    <row r="56" spans="1:35" ht="15" customHeight="1" x14ac:dyDescent="0.35">
      <c r="A56" s="29" t="s">
        <v>220</v>
      </c>
      <c r="B56" s="33" t="s">
        <v>47</v>
      </c>
      <c r="C56" s="43">
        <v>47.760596999999997</v>
      </c>
      <c r="D56" s="43">
        <v>47.784202999999998</v>
      </c>
      <c r="E56" s="43">
        <v>47.774448</v>
      </c>
      <c r="F56" s="43">
        <v>47.715159999999997</v>
      </c>
      <c r="G56" s="43">
        <v>47.485573000000002</v>
      </c>
      <c r="H56" s="43">
        <v>47.224068000000003</v>
      </c>
      <c r="I56" s="43">
        <v>47.583019</v>
      </c>
      <c r="J56" s="43">
        <v>47.331318000000003</v>
      </c>
      <c r="K56" s="43">
        <v>47.088267999999999</v>
      </c>
      <c r="L56" s="43">
        <v>46.890892000000001</v>
      </c>
      <c r="M56" s="43">
        <v>46.741241000000002</v>
      </c>
      <c r="N56" s="43">
        <v>46.633957000000002</v>
      </c>
      <c r="O56" s="43">
        <v>46.574001000000003</v>
      </c>
      <c r="P56" s="43">
        <v>46.547977000000003</v>
      </c>
      <c r="Q56" s="43">
        <v>46.544846</v>
      </c>
      <c r="R56" s="43">
        <v>46.497523999999999</v>
      </c>
      <c r="S56" s="43">
        <v>46.453110000000002</v>
      </c>
      <c r="T56" s="43">
        <v>46.418030000000002</v>
      </c>
      <c r="U56" s="43">
        <v>46.392024999999997</v>
      </c>
      <c r="V56" s="43">
        <v>46.369090999999997</v>
      </c>
      <c r="W56" s="43">
        <v>46.350025000000002</v>
      </c>
      <c r="X56" s="43">
        <v>46.336514000000001</v>
      </c>
      <c r="Y56" s="43">
        <v>46.357376000000002</v>
      </c>
      <c r="Z56" s="43">
        <v>46.376204999999999</v>
      </c>
      <c r="AA56" s="43">
        <v>46.397274000000003</v>
      </c>
      <c r="AB56" s="43">
        <v>46.418278000000001</v>
      </c>
      <c r="AC56" s="43">
        <v>46.438361999999998</v>
      </c>
      <c r="AD56" s="43">
        <v>46.461246000000003</v>
      </c>
      <c r="AE56" s="43">
        <v>46.480288999999999</v>
      </c>
      <c r="AF56" s="43">
        <v>46.500445999999997</v>
      </c>
      <c r="AG56" s="43">
        <v>46.520958</v>
      </c>
      <c r="AH56" s="43">
        <v>46.535457999999998</v>
      </c>
      <c r="AI56" s="35">
        <v>-8.3799999999999999E-4</v>
      </c>
    </row>
    <row r="57" spans="1:35" ht="15" customHeight="1" x14ac:dyDescent="0.35">
      <c r="A57" s="29" t="s">
        <v>219</v>
      </c>
      <c r="B57" s="33" t="s">
        <v>45</v>
      </c>
      <c r="C57" s="43">
        <v>114.79130600000001</v>
      </c>
      <c r="D57" s="43">
        <v>114.903976</v>
      </c>
      <c r="E57" s="43">
        <v>115.02149199999999</v>
      </c>
      <c r="F57" s="43">
        <v>114.95842</v>
      </c>
      <c r="G57" s="43">
        <v>114.963982</v>
      </c>
      <c r="H57" s="43">
        <v>114.715126</v>
      </c>
      <c r="I57" s="43">
        <v>114.712379</v>
      </c>
      <c r="J57" s="43">
        <v>114.46386699999999</v>
      </c>
      <c r="K57" s="43">
        <v>114.22943100000001</v>
      </c>
      <c r="L57" s="43">
        <v>114.039169</v>
      </c>
      <c r="M57" s="43">
        <v>113.89402800000001</v>
      </c>
      <c r="N57" s="43">
        <v>113.79061900000001</v>
      </c>
      <c r="O57" s="43">
        <v>113.734283</v>
      </c>
      <c r="P57" s="43">
        <v>113.71193700000001</v>
      </c>
      <c r="Q57" s="43">
        <v>113.712311</v>
      </c>
      <c r="R57" s="43">
        <v>113.667084</v>
      </c>
      <c r="S57" s="43">
        <v>113.62348900000001</v>
      </c>
      <c r="T57" s="43">
        <v>113.588493</v>
      </c>
      <c r="U57" s="43">
        <v>113.562836</v>
      </c>
      <c r="V57" s="43">
        <v>113.540825</v>
      </c>
      <c r="W57" s="43">
        <v>113.522423</v>
      </c>
      <c r="X57" s="43">
        <v>113.509697</v>
      </c>
      <c r="Y57" s="43">
        <v>113.530586</v>
      </c>
      <c r="Z57" s="43">
        <v>113.549538</v>
      </c>
      <c r="AA57" s="43">
        <v>113.570938</v>
      </c>
      <c r="AB57" s="43">
        <v>113.59236900000001</v>
      </c>
      <c r="AC57" s="43">
        <v>113.61262499999999</v>
      </c>
      <c r="AD57" s="43">
        <v>113.635986</v>
      </c>
      <c r="AE57" s="43">
        <v>113.655495</v>
      </c>
      <c r="AF57" s="43">
        <v>113.67591899999999</v>
      </c>
      <c r="AG57" s="43">
        <v>113.696907</v>
      </c>
      <c r="AH57" s="43">
        <v>113.71178399999999</v>
      </c>
      <c r="AI57" s="35">
        <v>-3.0499999999999999E-4</v>
      </c>
    </row>
    <row r="58" spans="1:35" ht="15" customHeight="1" x14ac:dyDescent="0.35">
      <c r="A58" s="29" t="s">
        <v>656</v>
      </c>
      <c r="B58" s="33" t="s">
        <v>556</v>
      </c>
      <c r="C58" s="43">
        <v>33.787388</v>
      </c>
      <c r="D58" s="43">
        <v>33.928176999999998</v>
      </c>
      <c r="E58" s="43">
        <v>34.013038999999999</v>
      </c>
      <c r="F58" s="43">
        <v>34.160831000000002</v>
      </c>
      <c r="G58" s="43">
        <v>34.196452999999998</v>
      </c>
      <c r="H58" s="43">
        <v>34.135905999999999</v>
      </c>
      <c r="I58" s="43">
        <v>34.652729000000001</v>
      </c>
      <c r="J58" s="43">
        <v>34.596764</v>
      </c>
      <c r="K58" s="43">
        <v>34.540131000000002</v>
      </c>
      <c r="L58" s="43">
        <v>34.502544</v>
      </c>
      <c r="M58" s="43">
        <v>34.483055</v>
      </c>
      <c r="N58" s="43">
        <v>34.478057999999997</v>
      </c>
      <c r="O58" s="43">
        <v>34.49371</v>
      </c>
      <c r="P58" s="43">
        <v>34.522796999999997</v>
      </c>
      <c r="Q58" s="43">
        <v>34.560417000000001</v>
      </c>
      <c r="R58" s="43">
        <v>34.544159000000001</v>
      </c>
      <c r="S58" s="43">
        <v>34.522812000000002</v>
      </c>
      <c r="T58" s="43">
        <v>34.506236999999999</v>
      </c>
      <c r="U58" s="43">
        <v>34.495735000000003</v>
      </c>
      <c r="V58" s="43">
        <v>34.486992000000001</v>
      </c>
      <c r="W58" s="43">
        <v>34.481257999999997</v>
      </c>
      <c r="X58" s="43">
        <v>34.480656000000003</v>
      </c>
      <c r="Y58" s="43">
        <v>34.498783000000003</v>
      </c>
      <c r="Z58" s="43">
        <v>34.515331000000003</v>
      </c>
      <c r="AA58" s="43">
        <v>34.533859</v>
      </c>
      <c r="AB58" s="43">
        <v>34.552455999999999</v>
      </c>
      <c r="AC58" s="43">
        <v>34.570427000000002</v>
      </c>
      <c r="AD58" s="43">
        <v>34.590865999999998</v>
      </c>
      <c r="AE58" s="43">
        <v>34.608077999999999</v>
      </c>
      <c r="AF58" s="43">
        <v>34.626269999999998</v>
      </c>
      <c r="AG58" s="43">
        <v>34.644717999999997</v>
      </c>
      <c r="AH58" s="43">
        <v>34.671120000000002</v>
      </c>
      <c r="AI58" s="35">
        <v>8.3299999999999997E-4</v>
      </c>
    </row>
    <row r="59" spans="1:35" ht="15" customHeight="1" x14ac:dyDescent="0.35">
      <c r="A59" s="29" t="s">
        <v>657</v>
      </c>
      <c r="B59" s="33" t="s">
        <v>557</v>
      </c>
      <c r="C59" s="43">
        <v>43.283603999999997</v>
      </c>
      <c r="D59" s="43">
        <v>43.386875000000003</v>
      </c>
      <c r="E59" s="43">
        <v>43.437038000000001</v>
      </c>
      <c r="F59" s="43">
        <v>43.491928000000001</v>
      </c>
      <c r="G59" s="43">
        <v>43.512718</v>
      </c>
      <c r="H59" s="43">
        <v>43.478713999999997</v>
      </c>
      <c r="I59" s="43">
        <v>43.958514999999998</v>
      </c>
      <c r="J59" s="43">
        <v>43.858798999999998</v>
      </c>
      <c r="K59" s="43">
        <v>43.769725999999999</v>
      </c>
      <c r="L59" s="43">
        <v>43.702396</v>
      </c>
      <c r="M59" s="43">
        <v>43.657150000000001</v>
      </c>
      <c r="N59" s="43">
        <v>43.631293999999997</v>
      </c>
      <c r="O59" s="43">
        <v>43.628273</v>
      </c>
      <c r="P59" s="43">
        <v>43.642105000000001</v>
      </c>
      <c r="Q59" s="43">
        <v>43.666728999999997</v>
      </c>
      <c r="R59" s="43">
        <v>43.637058000000003</v>
      </c>
      <c r="S59" s="43">
        <v>43.603442999999999</v>
      </c>
      <c r="T59" s="43">
        <v>43.575726000000003</v>
      </c>
      <c r="U59" s="43">
        <v>43.554268</v>
      </c>
      <c r="V59" s="43">
        <v>43.535823999999998</v>
      </c>
      <c r="W59" s="43">
        <v>43.520843999999997</v>
      </c>
      <c r="X59" s="43">
        <v>43.510356999999999</v>
      </c>
      <c r="Y59" s="43">
        <v>43.522854000000002</v>
      </c>
      <c r="Z59" s="43">
        <v>43.534401000000003</v>
      </c>
      <c r="AA59" s="43">
        <v>43.547381999999999</v>
      </c>
      <c r="AB59" s="43">
        <v>43.560459000000002</v>
      </c>
      <c r="AC59" s="43">
        <v>43.572952000000001</v>
      </c>
      <c r="AD59" s="43">
        <v>43.587322</v>
      </c>
      <c r="AE59" s="43">
        <v>43.599625000000003</v>
      </c>
      <c r="AF59" s="43">
        <v>43.612499</v>
      </c>
      <c r="AG59" s="43">
        <v>43.625816</v>
      </c>
      <c r="AH59" s="43">
        <v>43.633057000000001</v>
      </c>
      <c r="AI59" s="35">
        <v>2.5900000000000001E-4</v>
      </c>
    </row>
    <row r="60" spans="1:35" ht="15" customHeight="1" x14ac:dyDescent="0.35">
      <c r="A60" s="29" t="s">
        <v>218</v>
      </c>
      <c r="B60" s="33" t="s">
        <v>43</v>
      </c>
      <c r="C60" s="43">
        <v>0</v>
      </c>
      <c r="D60" s="43">
        <v>0</v>
      </c>
      <c r="E60" s="43">
        <v>0</v>
      </c>
      <c r="F60" s="43">
        <v>0</v>
      </c>
      <c r="G60" s="43">
        <v>0</v>
      </c>
      <c r="H60" s="43">
        <v>0</v>
      </c>
      <c r="I60" s="43">
        <v>0</v>
      </c>
      <c r="J60" s="43">
        <v>0</v>
      </c>
      <c r="K60" s="43">
        <v>0</v>
      </c>
      <c r="L60" s="43">
        <v>0</v>
      </c>
      <c r="M60" s="43">
        <v>0</v>
      </c>
      <c r="N60" s="43">
        <v>0</v>
      </c>
      <c r="O60" s="43">
        <v>0</v>
      </c>
      <c r="P60" s="43">
        <v>0</v>
      </c>
      <c r="Q60" s="43">
        <v>0</v>
      </c>
      <c r="R60" s="43">
        <v>0</v>
      </c>
      <c r="S60" s="43">
        <v>0</v>
      </c>
      <c r="T60" s="43">
        <v>0</v>
      </c>
      <c r="U60" s="43">
        <v>0</v>
      </c>
      <c r="V60" s="43">
        <v>0</v>
      </c>
      <c r="W60" s="43">
        <v>0</v>
      </c>
      <c r="X60" s="43">
        <v>0</v>
      </c>
      <c r="Y60" s="43">
        <v>0</v>
      </c>
      <c r="Z60" s="43">
        <v>0</v>
      </c>
      <c r="AA60" s="43">
        <v>0</v>
      </c>
      <c r="AB60" s="43">
        <v>0</v>
      </c>
      <c r="AC60" s="43">
        <v>0</v>
      </c>
      <c r="AD60" s="43">
        <v>0</v>
      </c>
      <c r="AE60" s="43">
        <v>0</v>
      </c>
      <c r="AF60" s="43">
        <v>0</v>
      </c>
      <c r="AG60" s="43">
        <v>0</v>
      </c>
      <c r="AH60" s="43">
        <v>0</v>
      </c>
      <c r="AI60" s="35" t="s">
        <v>12</v>
      </c>
    </row>
    <row r="61" spans="1:35" ht="15" customHeight="1" x14ac:dyDescent="0.35">
      <c r="A61" s="29" t="s">
        <v>217</v>
      </c>
      <c r="B61" s="33" t="s">
        <v>41</v>
      </c>
      <c r="C61" s="43">
        <v>0</v>
      </c>
      <c r="D61" s="43">
        <v>0</v>
      </c>
      <c r="E61" s="43">
        <v>0</v>
      </c>
      <c r="F61" s="43">
        <v>0</v>
      </c>
      <c r="G61" s="43">
        <v>0</v>
      </c>
      <c r="H61" s="43">
        <v>0</v>
      </c>
      <c r="I61" s="43">
        <v>0</v>
      </c>
      <c r="J61" s="43">
        <v>0</v>
      </c>
      <c r="K61" s="43">
        <v>0</v>
      </c>
      <c r="L61" s="43">
        <v>0</v>
      </c>
      <c r="M61" s="43">
        <v>0</v>
      </c>
      <c r="N61" s="43">
        <v>0</v>
      </c>
      <c r="O61" s="43">
        <v>0</v>
      </c>
      <c r="P61" s="43">
        <v>0</v>
      </c>
      <c r="Q61" s="43">
        <v>0</v>
      </c>
      <c r="R61" s="43">
        <v>0</v>
      </c>
      <c r="S61" s="43">
        <v>0</v>
      </c>
      <c r="T61" s="43">
        <v>0</v>
      </c>
      <c r="U61" s="43">
        <v>0</v>
      </c>
      <c r="V61" s="43">
        <v>0</v>
      </c>
      <c r="W61" s="43">
        <v>0</v>
      </c>
      <c r="X61" s="43">
        <v>0</v>
      </c>
      <c r="Y61" s="43">
        <v>0</v>
      </c>
      <c r="Z61" s="43">
        <v>0</v>
      </c>
      <c r="AA61" s="43">
        <v>0</v>
      </c>
      <c r="AB61" s="43">
        <v>0</v>
      </c>
      <c r="AC61" s="43">
        <v>0</v>
      </c>
      <c r="AD61" s="43">
        <v>0</v>
      </c>
      <c r="AE61" s="43">
        <v>0</v>
      </c>
      <c r="AF61" s="43">
        <v>0</v>
      </c>
      <c r="AG61" s="43">
        <v>0</v>
      </c>
      <c r="AH61" s="43">
        <v>0</v>
      </c>
      <c r="AI61" s="35" t="s">
        <v>12</v>
      </c>
    </row>
    <row r="62" spans="1:35" ht="15" customHeight="1" x14ac:dyDescent="0.35">
      <c r="A62" s="29" t="s">
        <v>216</v>
      </c>
      <c r="B62" s="33" t="s">
        <v>39</v>
      </c>
      <c r="C62" s="43">
        <v>42.853661000000002</v>
      </c>
      <c r="D62" s="43">
        <v>42.928443999999999</v>
      </c>
      <c r="E62" s="43">
        <v>42.956676000000002</v>
      </c>
      <c r="F62" s="43">
        <v>42.944201999999997</v>
      </c>
      <c r="G62" s="43">
        <v>42.830002</v>
      </c>
      <c r="H62" s="43">
        <v>42.824447999999997</v>
      </c>
      <c r="I62" s="43">
        <v>43.331116000000002</v>
      </c>
      <c r="J62" s="43">
        <v>43.142302999999998</v>
      </c>
      <c r="K62" s="43">
        <v>42.973846000000002</v>
      </c>
      <c r="L62" s="43">
        <v>42.836013999999999</v>
      </c>
      <c r="M62" s="43">
        <v>42.731566999999998</v>
      </c>
      <c r="N62" s="43">
        <v>42.658893999999997</v>
      </c>
      <c r="O62" s="43">
        <v>42.616652999999999</v>
      </c>
      <c r="P62" s="43">
        <v>42.598362000000002</v>
      </c>
      <c r="Q62" s="43">
        <v>42.598166999999997</v>
      </c>
      <c r="R62" s="43">
        <v>42.547984999999997</v>
      </c>
      <c r="S62" s="43">
        <v>42.496029</v>
      </c>
      <c r="T62" s="43">
        <v>42.452198000000003</v>
      </c>
      <c r="U62" s="43">
        <v>42.415385999999998</v>
      </c>
      <c r="V62" s="43">
        <v>42.383372999999999</v>
      </c>
      <c r="W62" s="43">
        <v>42.355899999999998</v>
      </c>
      <c r="X62" s="43">
        <v>42.332489000000002</v>
      </c>
      <c r="Y62" s="43">
        <v>42.339565</v>
      </c>
      <c r="Z62" s="43">
        <v>42.346283</v>
      </c>
      <c r="AA62" s="43">
        <v>42.353596000000003</v>
      </c>
      <c r="AB62" s="43">
        <v>42.360970000000002</v>
      </c>
      <c r="AC62" s="43">
        <v>42.368206000000001</v>
      </c>
      <c r="AD62" s="43">
        <v>42.376148000000001</v>
      </c>
      <c r="AE62" s="43">
        <v>42.383277999999997</v>
      </c>
      <c r="AF62" s="43">
        <v>42.390746999999998</v>
      </c>
      <c r="AG62" s="43">
        <v>42.398311999999997</v>
      </c>
      <c r="AH62" s="43">
        <v>42.399757000000001</v>
      </c>
      <c r="AI62" s="35">
        <v>-3.4299999999999999E-4</v>
      </c>
    </row>
    <row r="63" spans="1:35" ht="15" customHeight="1" x14ac:dyDescent="0.35">
      <c r="A63" s="29" t="s">
        <v>215</v>
      </c>
      <c r="B63" s="33" t="s">
        <v>37</v>
      </c>
      <c r="C63" s="43">
        <v>0</v>
      </c>
      <c r="D63" s="43">
        <v>0</v>
      </c>
      <c r="E63" s="43">
        <v>0</v>
      </c>
      <c r="F63" s="43">
        <v>0</v>
      </c>
      <c r="G63" s="43">
        <v>0</v>
      </c>
      <c r="H63" s="43">
        <v>0</v>
      </c>
      <c r="I63" s="43">
        <v>0</v>
      </c>
      <c r="J63" s="43">
        <v>0</v>
      </c>
      <c r="K63" s="43">
        <v>0</v>
      </c>
      <c r="L63" s="43">
        <v>0</v>
      </c>
      <c r="M63" s="43">
        <v>0</v>
      </c>
      <c r="N63" s="43">
        <v>0</v>
      </c>
      <c r="O63" s="43">
        <v>0</v>
      </c>
      <c r="P63" s="43">
        <v>0</v>
      </c>
      <c r="Q63" s="43">
        <v>0</v>
      </c>
      <c r="R63" s="43">
        <v>0</v>
      </c>
      <c r="S63" s="43">
        <v>0</v>
      </c>
      <c r="T63" s="43">
        <v>0</v>
      </c>
      <c r="U63" s="43">
        <v>0</v>
      </c>
      <c r="V63" s="43">
        <v>0</v>
      </c>
      <c r="W63" s="43">
        <v>0</v>
      </c>
      <c r="X63" s="43">
        <v>0</v>
      </c>
      <c r="Y63" s="43">
        <v>0</v>
      </c>
      <c r="Z63" s="43">
        <v>0</v>
      </c>
      <c r="AA63" s="43">
        <v>0</v>
      </c>
      <c r="AB63" s="43">
        <v>0</v>
      </c>
      <c r="AC63" s="43">
        <v>0</v>
      </c>
      <c r="AD63" s="43">
        <v>0</v>
      </c>
      <c r="AE63" s="43">
        <v>0</v>
      </c>
      <c r="AF63" s="43">
        <v>0</v>
      </c>
      <c r="AG63" s="43">
        <v>0</v>
      </c>
      <c r="AH63" s="43">
        <v>0</v>
      </c>
      <c r="AI63" s="35" t="s">
        <v>12</v>
      </c>
    </row>
    <row r="64" spans="1:35" ht="15" customHeight="1" x14ac:dyDescent="0.35">
      <c r="A64" s="29" t="s">
        <v>214</v>
      </c>
      <c r="B64" s="33" t="s">
        <v>35</v>
      </c>
      <c r="C64" s="43">
        <v>0</v>
      </c>
      <c r="D64" s="43">
        <v>46.0779</v>
      </c>
      <c r="E64" s="43">
        <v>46.225346000000002</v>
      </c>
      <c r="F64" s="43">
        <v>46.299458000000001</v>
      </c>
      <c r="G64" s="43">
        <v>46.339751999999997</v>
      </c>
      <c r="H64" s="43">
        <v>46.442748999999999</v>
      </c>
      <c r="I64" s="43">
        <v>46.775393999999999</v>
      </c>
      <c r="J64" s="43">
        <v>46.596527000000002</v>
      </c>
      <c r="K64" s="43">
        <v>46.437057000000003</v>
      </c>
      <c r="L64" s="43">
        <v>46.308200999999997</v>
      </c>
      <c r="M64" s="43">
        <v>46.212299000000002</v>
      </c>
      <c r="N64" s="43">
        <v>46.147530000000003</v>
      </c>
      <c r="O64" s="43">
        <v>46.113525000000003</v>
      </c>
      <c r="P64" s="43">
        <v>46.102741000000002</v>
      </c>
      <c r="Q64" s="43">
        <v>46.109366999999999</v>
      </c>
      <c r="R64" s="43">
        <v>46.065556000000001</v>
      </c>
      <c r="S64" s="43">
        <v>46.019748999999997</v>
      </c>
      <c r="T64" s="43">
        <v>45.981727999999997</v>
      </c>
      <c r="U64" s="43">
        <v>45.950996000000004</v>
      </c>
      <c r="V64" s="43">
        <v>45.924590999999999</v>
      </c>
      <c r="W64" s="43">
        <v>45.902343999999999</v>
      </c>
      <c r="X64" s="43">
        <v>45.884704999999997</v>
      </c>
      <c r="Y64" s="43">
        <v>45.895744000000001</v>
      </c>
      <c r="Z64" s="43">
        <v>45.906101</v>
      </c>
      <c r="AA64" s="43">
        <v>45.917743999999999</v>
      </c>
      <c r="AB64" s="43">
        <v>45.929585000000003</v>
      </c>
      <c r="AC64" s="43">
        <v>45.941113000000001</v>
      </c>
      <c r="AD64" s="43">
        <v>45.954300000000003</v>
      </c>
      <c r="AE64" s="43">
        <v>45.965752000000002</v>
      </c>
      <c r="AF64" s="43">
        <v>45.977943000000003</v>
      </c>
      <c r="AG64" s="43">
        <v>45.990532000000002</v>
      </c>
      <c r="AH64" s="43">
        <v>45.997180999999998</v>
      </c>
      <c r="AI64" s="35" t="s">
        <v>12</v>
      </c>
    </row>
    <row r="65" spans="1:35" ht="15" customHeight="1" x14ac:dyDescent="0.35">
      <c r="A65" s="29" t="s">
        <v>213</v>
      </c>
      <c r="B65" s="33" t="s">
        <v>33</v>
      </c>
      <c r="C65" s="43">
        <v>0</v>
      </c>
      <c r="D65" s="43">
        <v>0</v>
      </c>
      <c r="E65" s="43">
        <v>0</v>
      </c>
      <c r="F65" s="43">
        <v>0</v>
      </c>
      <c r="G65" s="43">
        <v>0</v>
      </c>
      <c r="H65" s="43">
        <v>0</v>
      </c>
      <c r="I65" s="43">
        <v>0</v>
      </c>
      <c r="J65" s="43">
        <v>0</v>
      </c>
      <c r="K65" s="43">
        <v>0</v>
      </c>
      <c r="L65" s="43">
        <v>0</v>
      </c>
      <c r="M65" s="43">
        <v>0</v>
      </c>
      <c r="N65" s="43">
        <v>0</v>
      </c>
      <c r="O65" s="43">
        <v>0</v>
      </c>
      <c r="P65" s="43">
        <v>0</v>
      </c>
      <c r="Q65" s="43">
        <v>0</v>
      </c>
      <c r="R65" s="43">
        <v>0</v>
      </c>
      <c r="S65" s="43">
        <v>0</v>
      </c>
      <c r="T65" s="43">
        <v>0</v>
      </c>
      <c r="U65" s="43">
        <v>0</v>
      </c>
      <c r="V65" s="43">
        <v>0</v>
      </c>
      <c r="W65" s="43">
        <v>0</v>
      </c>
      <c r="X65" s="43">
        <v>0</v>
      </c>
      <c r="Y65" s="43">
        <v>0</v>
      </c>
      <c r="Z65" s="43">
        <v>0</v>
      </c>
      <c r="AA65" s="43">
        <v>0</v>
      </c>
      <c r="AB65" s="43">
        <v>0</v>
      </c>
      <c r="AC65" s="43">
        <v>0</v>
      </c>
      <c r="AD65" s="43">
        <v>0</v>
      </c>
      <c r="AE65" s="43">
        <v>0</v>
      </c>
      <c r="AF65" s="43">
        <v>0</v>
      </c>
      <c r="AG65" s="43">
        <v>0</v>
      </c>
      <c r="AH65" s="43">
        <v>0</v>
      </c>
      <c r="AI65" s="35" t="s">
        <v>12</v>
      </c>
    </row>
    <row r="66" spans="1:35" ht="15" customHeight="1" x14ac:dyDescent="0.35">
      <c r="A66" s="29" t="s">
        <v>658</v>
      </c>
      <c r="B66" s="33" t="s">
        <v>558</v>
      </c>
      <c r="C66" s="43">
        <v>37.859375</v>
      </c>
      <c r="D66" s="43">
        <v>37.901843999999997</v>
      </c>
      <c r="E66" s="43">
        <v>37.944923000000003</v>
      </c>
      <c r="F66" s="43">
        <v>38.127789</v>
      </c>
      <c r="G66" s="43">
        <v>38.160442000000003</v>
      </c>
      <c r="H66" s="43">
        <v>38.273173999999997</v>
      </c>
      <c r="I66" s="43">
        <v>38.960616999999999</v>
      </c>
      <c r="J66" s="43">
        <v>38.892249999999997</v>
      </c>
      <c r="K66" s="43">
        <v>38.834220999999999</v>
      </c>
      <c r="L66" s="43">
        <v>38.795437</v>
      </c>
      <c r="M66" s="43">
        <v>38.775149999999996</v>
      </c>
      <c r="N66" s="43">
        <v>38.769539000000002</v>
      </c>
      <c r="O66" s="43">
        <v>38.785229000000001</v>
      </c>
      <c r="P66" s="43">
        <v>38.814816</v>
      </c>
      <c r="Q66" s="43">
        <v>38.853026999999997</v>
      </c>
      <c r="R66" s="43">
        <v>38.836578000000003</v>
      </c>
      <c r="S66" s="43">
        <v>38.815261999999997</v>
      </c>
      <c r="T66" s="43">
        <v>38.798884999999999</v>
      </c>
      <c r="U66" s="43">
        <v>38.789169000000001</v>
      </c>
      <c r="V66" s="43">
        <v>38.781326</v>
      </c>
      <c r="W66" s="43">
        <v>38.776665000000001</v>
      </c>
      <c r="X66" s="43">
        <v>38.777863000000004</v>
      </c>
      <c r="Y66" s="43">
        <v>38.798332000000002</v>
      </c>
      <c r="Z66" s="43">
        <v>38.817036000000002</v>
      </c>
      <c r="AA66" s="43">
        <v>38.838206999999997</v>
      </c>
      <c r="AB66" s="43">
        <v>38.859580999999999</v>
      </c>
      <c r="AC66" s="43">
        <v>38.880085000000001</v>
      </c>
      <c r="AD66" s="43">
        <v>38.903534000000001</v>
      </c>
      <c r="AE66" s="43">
        <v>38.923084000000003</v>
      </c>
      <c r="AF66" s="43">
        <v>38.943854999999999</v>
      </c>
      <c r="AG66" s="43">
        <v>38.965023000000002</v>
      </c>
      <c r="AH66" s="43">
        <v>38.982948</v>
      </c>
      <c r="AI66" s="35">
        <v>9.4399999999999996E-4</v>
      </c>
    </row>
    <row r="67" spans="1:35" ht="15" customHeight="1" x14ac:dyDescent="0.35">
      <c r="A67" s="29" t="s">
        <v>659</v>
      </c>
      <c r="B67" s="33" t="s">
        <v>559</v>
      </c>
      <c r="C67" s="43">
        <v>51.315246999999999</v>
      </c>
      <c r="D67" s="43">
        <v>51.349708999999997</v>
      </c>
      <c r="E67" s="43">
        <v>51.466042000000002</v>
      </c>
      <c r="F67" s="43">
        <v>51.514977000000002</v>
      </c>
      <c r="G67" s="43">
        <v>51.500731999999999</v>
      </c>
      <c r="H67" s="43">
        <v>51.450806</v>
      </c>
      <c r="I67" s="43">
        <v>51.735518999999996</v>
      </c>
      <c r="J67" s="43">
        <v>51.704250000000002</v>
      </c>
      <c r="K67" s="43">
        <v>51.618000000000002</v>
      </c>
      <c r="L67" s="43">
        <v>51.552264999999998</v>
      </c>
      <c r="M67" s="43">
        <v>51.508617000000001</v>
      </c>
      <c r="N67" s="43">
        <v>51.483378999999999</v>
      </c>
      <c r="O67" s="43">
        <v>51.482323000000001</v>
      </c>
      <c r="P67" s="43">
        <v>51.497768000000001</v>
      </c>
      <c r="Q67" s="43">
        <v>51.524113</v>
      </c>
      <c r="R67" s="43">
        <v>51.496918000000001</v>
      </c>
      <c r="S67" s="43">
        <v>51.465964999999997</v>
      </c>
      <c r="T67" s="43">
        <v>51.440925999999997</v>
      </c>
      <c r="U67" s="43">
        <v>51.422977000000003</v>
      </c>
      <c r="V67" s="43">
        <v>51.407618999999997</v>
      </c>
      <c r="W67" s="43">
        <v>51.396079999999998</v>
      </c>
      <c r="X67" s="43">
        <v>51.390296999999997</v>
      </c>
      <c r="Y67" s="43">
        <v>51.407893999999999</v>
      </c>
      <c r="Z67" s="43">
        <v>51.423884999999999</v>
      </c>
      <c r="AA67" s="43">
        <v>51.441799000000003</v>
      </c>
      <c r="AB67" s="43">
        <v>51.459727999999998</v>
      </c>
      <c r="AC67" s="43">
        <v>51.477001000000001</v>
      </c>
      <c r="AD67" s="43">
        <v>51.496704000000001</v>
      </c>
      <c r="AE67" s="43">
        <v>51.513202999999997</v>
      </c>
      <c r="AF67" s="43">
        <v>51.530743000000001</v>
      </c>
      <c r="AG67" s="43">
        <v>51.548622000000002</v>
      </c>
      <c r="AH67" s="43">
        <v>51.560516</v>
      </c>
      <c r="AI67" s="35">
        <v>1.54E-4</v>
      </c>
    </row>
    <row r="69" spans="1:35" ht="15" customHeight="1" x14ac:dyDescent="0.35">
      <c r="A69" s="25"/>
      <c r="B69" s="32" t="s">
        <v>212</v>
      </c>
      <c r="C69" s="25"/>
      <c r="D69" s="25"/>
      <c r="E69" s="25"/>
      <c r="F69" s="25"/>
      <c r="G69" s="25"/>
      <c r="H69" s="25"/>
      <c r="I69" s="25"/>
      <c r="J69" s="25"/>
      <c r="K69" s="25"/>
      <c r="L69" s="25"/>
      <c r="M69" s="25"/>
      <c r="N69" s="25"/>
      <c r="O69" s="25"/>
      <c r="P69" s="25"/>
      <c r="Q69" s="25"/>
      <c r="R69" s="25"/>
      <c r="S69" s="25"/>
      <c r="T69" s="25"/>
      <c r="U69" s="25"/>
      <c r="V69" s="25"/>
      <c r="W69" s="25"/>
      <c r="X69" s="25"/>
      <c r="Y69" s="25"/>
      <c r="Z69" s="25"/>
      <c r="AA69" s="25"/>
      <c r="AB69" s="25"/>
      <c r="AC69" s="25"/>
      <c r="AD69" s="25"/>
      <c r="AE69" s="25"/>
      <c r="AF69" s="25"/>
      <c r="AG69" s="25"/>
      <c r="AH69" s="25"/>
      <c r="AI69" s="25"/>
    </row>
    <row r="70" spans="1:35" ht="15" customHeight="1" x14ac:dyDescent="0.35">
      <c r="A70" s="29" t="s">
        <v>211</v>
      </c>
      <c r="B70" s="33" t="s">
        <v>55</v>
      </c>
      <c r="C70" s="43">
        <v>0</v>
      </c>
      <c r="D70" s="43">
        <v>0</v>
      </c>
      <c r="E70" s="43">
        <v>0</v>
      </c>
      <c r="F70" s="43">
        <v>0</v>
      </c>
      <c r="G70" s="43">
        <v>0</v>
      </c>
      <c r="H70" s="43">
        <v>0</v>
      </c>
      <c r="I70" s="43">
        <v>0</v>
      </c>
      <c r="J70" s="43">
        <v>0</v>
      </c>
      <c r="K70" s="43">
        <v>0</v>
      </c>
      <c r="L70" s="43">
        <v>0</v>
      </c>
      <c r="M70" s="43">
        <v>0</v>
      </c>
      <c r="N70" s="43">
        <v>0</v>
      </c>
      <c r="O70" s="43">
        <v>0</v>
      </c>
      <c r="P70" s="43">
        <v>0</v>
      </c>
      <c r="Q70" s="43">
        <v>0</v>
      </c>
      <c r="R70" s="43">
        <v>0</v>
      </c>
      <c r="S70" s="43">
        <v>0</v>
      </c>
      <c r="T70" s="43">
        <v>0</v>
      </c>
      <c r="U70" s="43">
        <v>0</v>
      </c>
      <c r="V70" s="43">
        <v>0</v>
      </c>
      <c r="W70" s="43">
        <v>0</v>
      </c>
      <c r="X70" s="43">
        <v>0</v>
      </c>
      <c r="Y70" s="43">
        <v>0</v>
      </c>
      <c r="Z70" s="43">
        <v>0</v>
      </c>
      <c r="AA70" s="43">
        <v>0</v>
      </c>
      <c r="AB70" s="43">
        <v>0</v>
      </c>
      <c r="AC70" s="43">
        <v>0</v>
      </c>
      <c r="AD70" s="43">
        <v>0</v>
      </c>
      <c r="AE70" s="43">
        <v>0</v>
      </c>
      <c r="AF70" s="43">
        <v>0</v>
      </c>
      <c r="AG70" s="43">
        <v>0</v>
      </c>
      <c r="AH70" s="43">
        <v>0</v>
      </c>
      <c r="AI70" s="35" t="s">
        <v>12</v>
      </c>
    </row>
    <row r="71" spans="1:35" ht="15" customHeight="1" x14ac:dyDescent="0.35">
      <c r="A71" s="29" t="s">
        <v>210</v>
      </c>
      <c r="B71" s="33" t="s">
        <v>53</v>
      </c>
      <c r="C71" s="43">
        <v>53.542599000000003</v>
      </c>
      <c r="D71" s="43">
        <v>53.400478</v>
      </c>
      <c r="E71" s="43">
        <v>53.553531999999997</v>
      </c>
      <c r="F71" s="43">
        <v>53.719535999999998</v>
      </c>
      <c r="G71" s="43">
        <v>53.528046000000003</v>
      </c>
      <c r="H71" s="43">
        <v>53.313431000000001</v>
      </c>
      <c r="I71" s="43">
        <v>53.309811000000003</v>
      </c>
      <c r="J71" s="43">
        <v>53.141624</v>
      </c>
      <c r="K71" s="43">
        <v>52.972332000000002</v>
      </c>
      <c r="L71" s="43">
        <v>52.834816000000004</v>
      </c>
      <c r="M71" s="43">
        <v>52.727832999999997</v>
      </c>
      <c r="N71" s="43">
        <v>52.646163999999999</v>
      </c>
      <c r="O71" s="43">
        <v>52.598247999999998</v>
      </c>
      <c r="P71" s="43">
        <v>52.573810999999999</v>
      </c>
      <c r="Q71" s="43">
        <v>52.565029000000003</v>
      </c>
      <c r="R71" s="43">
        <v>52.507240000000003</v>
      </c>
      <c r="S71" s="43">
        <v>52.450031000000003</v>
      </c>
      <c r="T71" s="43">
        <v>52.402228999999998</v>
      </c>
      <c r="U71" s="43">
        <v>52.365806999999997</v>
      </c>
      <c r="V71" s="43">
        <v>52.334496000000001</v>
      </c>
      <c r="W71" s="43">
        <v>52.309517</v>
      </c>
      <c r="X71" s="43">
        <v>52.293776999999999</v>
      </c>
      <c r="Y71" s="43">
        <v>52.315235000000001</v>
      </c>
      <c r="Z71" s="43">
        <v>52.334499000000001</v>
      </c>
      <c r="AA71" s="43">
        <v>52.356566999999998</v>
      </c>
      <c r="AB71" s="43">
        <v>52.378788</v>
      </c>
      <c r="AC71" s="43">
        <v>52.400246000000003</v>
      </c>
      <c r="AD71" s="43">
        <v>52.425182</v>
      </c>
      <c r="AE71" s="43">
        <v>52.445663000000003</v>
      </c>
      <c r="AF71" s="43">
        <v>52.467753999999999</v>
      </c>
      <c r="AG71" s="43">
        <v>52.490386999999998</v>
      </c>
      <c r="AH71" s="43">
        <v>52.507263000000002</v>
      </c>
      <c r="AI71" s="35">
        <v>-6.3000000000000003E-4</v>
      </c>
    </row>
    <row r="72" spans="1:35" ht="15" customHeight="1" x14ac:dyDescent="0.35">
      <c r="A72" s="29" t="s">
        <v>209</v>
      </c>
      <c r="B72" s="33" t="s">
        <v>51</v>
      </c>
      <c r="C72" s="43">
        <v>42.370345999999998</v>
      </c>
      <c r="D72" s="43">
        <v>42.253284000000001</v>
      </c>
      <c r="E72" s="43">
        <v>42.159137999999999</v>
      </c>
      <c r="F72" s="43">
        <v>42.132694000000001</v>
      </c>
      <c r="G72" s="43">
        <v>41.997345000000003</v>
      </c>
      <c r="H72" s="43">
        <v>41.786251</v>
      </c>
      <c r="I72" s="43">
        <v>42.195717000000002</v>
      </c>
      <c r="J72" s="43">
        <v>42.028461</v>
      </c>
      <c r="K72" s="43">
        <v>41.866146000000001</v>
      </c>
      <c r="L72" s="43">
        <v>41.735565000000001</v>
      </c>
      <c r="M72" s="43">
        <v>41.635539999999999</v>
      </c>
      <c r="N72" s="43">
        <v>41.560164999999998</v>
      </c>
      <c r="O72" s="43">
        <v>41.518397999999998</v>
      </c>
      <c r="P72" s="43">
        <v>41.499279000000001</v>
      </c>
      <c r="Q72" s="43">
        <v>41.495089999999998</v>
      </c>
      <c r="R72" s="43">
        <v>41.442326000000001</v>
      </c>
      <c r="S72" s="43">
        <v>41.390059999999998</v>
      </c>
      <c r="T72" s="43">
        <v>41.346694999999997</v>
      </c>
      <c r="U72" s="43">
        <v>41.314231999999997</v>
      </c>
      <c r="V72" s="43">
        <v>41.286102</v>
      </c>
      <c r="W72" s="43">
        <v>41.264412</v>
      </c>
      <c r="X72" s="43">
        <v>41.252144000000001</v>
      </c>
      <c r="Y72" s="43">
        <v>41.275658</v>
      </c>
      <c r="Z72" s="43">
        <v>41.296612000000003</v>
      </c>
      <c r="AA72" s="43">
        <v>41.320641000000002</v>
      </c>
      <c r="AB72" s="43">
        <v>41.344841000000002</v>
      </c>
      <c r="AC72" s="43">
        <v>41.368136999999997</v>
      </c>
      <c r="AD72" s="43">
        <v>41.395271000000001</v>
      </c>
      <c r="AE72" s="43">
        <v>41.417521999999998</v>
      </c>
      <c r="AF72" s="43">
        <v>41.441459999999999</v>
      </c>
      <c r="AG72" s="43">
        <v>41.465988000000003</v>
      </c>
      <c r="AH72" s="43">
        <v>41.484833000000002</v>
      </c>
      <c r="AI72" s="35">
        <v>-6.8099999999999996E-4</v>
      </c>
    </row>
    <row r="73" spans="1:35" ht="15" customHeight="1" x14ac:dyDescent="0.35">
      <c r="A73" s="29" t="s">
        <v>208</v>
      </c>
      <c r="B73" s="33" t="s">
        <v>49</v>
      </c>
      <c r="C73" s="43">
        <v>42.062649</v>
      </c>
      <c r="D73" s="43">
        <v>41.920174000000003</v>
      </c>
      <c r="E73" s="43">
        <v>41.737309000000003</v>
      </c>
      <c r="F73" s="43">
        <v>41.584702</v>
      </c>
      <c r="G73" s="43">
        <v>41.354519000000003</v>
      </c>
      <c r="H73" s="43">
        <v>41.094054999999997</v>
      </c>
      <c r="I73" s="43">
        <v>41.737839000000001</v>
      </c>
      <c r="J73" s="43">
        <v>41.523074999999999</v>
      </c>
      <c r="K73" s="43">
        <v>41.31514</v>
      </c>
      <c r="L73" s="43">
        <v>41.144131000000002</v>
      </c>
      <c r="M73" s="43">
        <v>41.009749999999997</v>
      </c>
      <c r="N73" s="43">
        <v>40.906582</v>
      </c>
      <c r="O73" s="43">
        <v>40.842243000000003</v>
      </c>
      <c r="P73" s="43">
        <v>40.805191000000001</v>
      </c>
      <c r="Q73" s="43">
        <v>40.786678000000002</v>
      </c>
      <c r="R73" s="43">
        <v>40.721462000000002</v>
      </c>
      <c r="S73" s="43">
        <v>40.658993000000002</v>
      </c>
      <c r="T73" s="43">
        <v>40.607261999999999</v>
      </c>
      <c r="U73" s="43">
        <v>40.566794999999999</v>
      </c>
      <c r="V73" s="43">
        <v>40.531384000000003</v>
      </c>
      <c r="W73" s="43">
        <v>40.502552000000001</v>
      </c>
      <c r="X73" s="43">
        <v>40.482666000000002</v>
      </c>
      <c r="Y73" s="43">
        <v>40.502937000000003</v>
      </c>
      <c r="Z73" s="43">
        <v>40.521068999999997</v>
      </c>
      <c r="AA73" s="43">
        <v>40.541758999999999</v>
      </c>
      <c r="AB73" s="43">
        <v>40.562514999999998</v>
      </c>
      <c r="AC73" s="43">
        <v>40.582478000000002</v>
      </c>
      <c r="AD73" s="43">
        <v>40.605564000000001</v>
      </c>
      <c r="AE73" s="43">
        <v>40.624470000000002</v>
      </c>
      <c r="AF73" s="43">
        <v>40.644779</v>
      </c>
      <c r="AG73" s="43">
        <v>40.665520000000001</v>
      </c>
      <c r="AH73" s="43">
        <v>40.680435000000003</v>
      </c>
      <c r="AI73" s="35">
        <v>-1.077E-3</v>
      </c>
    </row>
    <row r="74" spans="1:35" ht="15" customHeight="1" x14ac:dyDescent="0.35">
      <c r="A74" s="29" t="s">
        <v>207</v>
      </c>
      <c r="B74" s="33" t="s">
        <v>47</v>
      </c>
      <c r="C74" s="43">
        <v>52.483482000000002</v>
      </c>
      <c r="D74" s="43">
        <v>52.232906</v>
      </c>
      <c r="E74" s="43">
        <v>52.033234</v>
      </c>
      <c r="F74" s="43">
        <v>51.798884999999999</v>
      </c>
      <c r="G74" s="43">
        <v>51.393017</v>
      </c>
      <c r="H74" s="43">
        <v>51.004733999999999</v>
      </c>
      <c r="I74" s="43">
        <v>51.349854000000001</v>
      </c>
      <c r="J74" s="43">
        <v>51.020012000000001</v>
      </c>
      <c r="K74" s="43">
        <v>50.706322</v>
      </c>
      <c r="L74" s="43">
        <v>50.442867</v>
      </c>
      <c r="M74" s="43">
        <v>50.231400000000001</v>
      </c>
      <c r="N74" s="43">
        <v>50.066544</v>
      </c>
      <c r="O74" s="43">
        <v>49.953079000000002</v>
      </c>
      <c r="P74" s="43">
        <v>49.877487000000002</v>
      </c>
      <c r="Q74" s="43">
        <v>49.828701000000002</v>
      </c>
      <c r="R74" s="43">
        <v>49.739311000000001</v>
      </c>
      <c r="S74" s="43">
        <v>49.656424999999999</v>
      </c>
      <c r="T74" s="43">
        <v>49.586697000000001</v>
      </c>
      <c r="U74" s="43">
        <v>49.530098000000002</v>
      </c>
      <c r="V74" s="43">
        <v>49.480305000000001</v>
      </c>
      <c r="W74" s="43">
        <v>49.438285999999998</v>
      </c>
      <c r="X74" s="43">
        <v>49.405620999999996</v>
      </c>
      <c r="Y74" s="43">
        <v>49.423594999999999</v>
      </c>
      <c r="Z74" s="43">
        <v>49.439655000000002</v>
      </c>
      <c r="AA74" s="43">
        <v>49.457923999999998</v>
      </c>
      <c r="AB74" s="43">
        <v>49.476227000000002</v>
      </c>
      <c r="AC74" s="43">
        <v>49.493747999999997</v>
      </c>
      <c r="AD74" s="43">
        <v>49.514122</v>
      </c>
      <c r="AE74" s="43">
        <v>49.530731000000003</v>
      </c>
      <c r="AF74" s="43">
        <v>49.548470000000002</v>
      </c>
      <c r="AG74" s="43">
        <v>49.566639000000002</v>
      </c>
      <c r="AH74" s="43">
        <v>49.578842000000002</v>
      </c>
      <c r="AI74" s="35">
        <v>-1.835E-3</v>
      </c>
    </row>
    <row r="75" spans="1:35" ht="15" customHeight="1" x14ac:dyDescent="0.35">
      <c r="A75" s="29" t="s">
        <v>206</v>
      </c>
      <c r="B75" s="33" t="s">
        <v>45</v>
      </c>
      <c r="C75" s="43">
        <v>0</v>
      </c>
      <c r="D75" s="43">
        <v>118.84122499999999</v>
      </c>
      <c r="E75" s="43">
        <v>118.703743</v>
      </c>
      <c r="F75" s="43">
        <v>118.531845</v>
      </c>
      <c r="G75" s="43">
        <v>118.39492</v>
      </c>
      <c r="H75" s="43">
        <v>118.04544799999999</v>
      </c>
      <c r="I75" s="43">
        <v>118.048439</v>
      </c>
      <c r="J75" s="43">
        <v>117.73165899999999</v>
      </c>
      <c r="K75" s="43">
        <v>117.434822</v>
      </c>
      <c r="L75" s="43">
        <v>117.185593</v>
      </c>
      <c r="M75" s="43">
        <v>116.985878</v>
      </c>
      <c r="N75" s="43">
        <v>116.831802</v>
      </c>
      <c r="O75" s="43">
        <v>116.728256</v>
      </c>
      <c r="P75" s="43">
        <v>116.661903</v>
      </c>
      <c r="Q75" s="43">
        <v>116.62215399999999</v>
      </c>
      <c r="R75" s="43">
        <v>116.540352</v>
      </c>
      <c r="S75" s="43">
        <v>116.463661</v>
      </c>
      <c r="T75" s="43">
        <v>116.399208</v>
      </c>
      <c r="U75" s="43">
        <v>116.34736599999999</v>
      </c>
      <c r="V75" s="43">
        <v>116.302002</v>
      </c>
      <c r="W75" s="43">
        <v>116.263794</v>
      </c>
      <c r="X75" s="43">
        <v>116.23436</v>
      </c>
      <c r="Y75" s="43">
        <v>116.25295300000001</v>
      </c>
      <c r="Z75" s="43">
        <v>116.269707</v>
      </c>
      <c r="AA75" s="43">
        <v>116.288826</v>
      </c>
      <c r="AB75" s="43">
        <v>116.308052</v>
      </c>
      <c r="AC75" s="43">
        <v>116.326279</v>
      </c>
      <c r="AD75" s="43">
        <v>116.34757999999999</v>
      </c>
      <c r="AE75" s="43">
        <v>116.36507400000001</v>
      </c>
      <c r="AF75" s="43">
        <v>116.383606</v>
      </c>
      <c r="AG75" s="43">
        <v>116.402725</v>
      </c>
      <c r="AH75" s="43">
        <v>116.41572600000001</v>
      </c>
      <c r="AI75" s="35" t="s">
        <v>12</v>
      </c>
    </row>
    <row r="76" spans="1:35" ht="15" customHeight="1" x14ac:dyDescent="0.35">
      <c r="A76" s="29" t="s">
        <v>660</v>
      </c>
      <c r="B76" s="33" t="s">
        <v>556</v>
      </c>
      <c r="C76" s="43">
        <v>38.263728999999998</v>
      </c>
      <c r="D76" s="43">
        <v>38.156967000000002</v>
      </c>
      <c r="E76" s="43">
        <v>38.061489000000002</v>
      </c>
      <c r="F76" s="43">
        <v>38.060088999999998</v>
      </c>
      <c r="G76" s="43">
        <v>37.908999999999999</v>
      </c>
      <c r="H76" s="43">
        <v>37.690719999999999</v>
      </c>
      <c r="I76" s="43">
        <v>38.206890000000001</v>
      </c>
      <c r="J76" s="43">
        <v>38.079037</v>
      </c>
      <c r="K76" s="43">
        <v>37.956989</v>
      </c>
      <c r="L76" s="43">
        <v>37.858131</v>
      </c>
      <c r="M76" s="43">
        <v>37.781379999999999</v>
      </c>
      <c r="N76" s="43">
        <v>37.723007000000003</v>
      </c>
      <c r="O76" s="43">
        <v>37.688965000000003</v>
      </c>
      <c r="P76" s="43">
        <v>37.671973999999999</v>
      </c>
      <c r="Q76" s="43">
        <v>37.667167999999997</v>
      </c>
      <c r="R76" s="43">
        <v>37.610863000000002</v>
      </c>
      <c r="S76" s="43">
        <v>37.553508999999998</v>
      </c>
      <c r="T76" s="43">
        <v>37.504500999999998</v>
      </c>
      <c r="U76" s="43">
        <v>37.465102999999999</v>
      </c>
      <c r="V76" s="43">
        <v>37.431023000000003</v>
      </c>
      <c r="W76" s="43">
        <v>37.403495999999997</v>
      </c>
      <c r="X76" s="43">
        <v>37.384590000000003</v>
      </c>
      <c r="Y76" s="43">
        <v>37.399695999999999</v>
      </c>
      <c r="Z76" s="43">
        <v>37.413383000000003</v>
      </c>
      <c r="AA76" s="43">
        <v>37.429141999999999</v>
      </c>
      <c r="AB76" s="43">
        <v>37.445072000000003</v>
      </c>
      <c r="AC76" s="43">
        <v>37.460464000000002</v>
      </c>
      <c r="AD76" s="43">
        <v>37.478400999999998</v>
      </c>
      <c r="AE76" s="43">
        <v>37.493225000000002</v>
      </c>
      <c r="AF76" s="43">
        <v>37.509132000000001</v>
      </c>
      <c r="AG76" s="43">
        <v>37.525374999999997</v>
      </c>
      <c r="AH76" s="43">
        <v>37.535812</v>
      </c>
      <c r="AI76" s="35">
        <v>-6.1899999999999998E-4</v>
      </c>
    </row>
    <row r="77" spans="1:35" ht="15" customHeight="1" x14ac:dyDescent="0.35">
      <c r="A77" s="29" t="s">
        <v>661</v>
      </c>
      <c r="B77" s="33" t="s">
        <v>557</v>
      </c>
      <c r="C77" s="43">
        <v>0</v>
      </c>
      <c r="D77" s="43">
        <v>48.339657000000003</v>
      </c>
      <c r="E77" s="43">
        <v>48.097431</v>
      </c>
      <c r="F77" s="43">
        <v>47.943344000000003</v>
      </c>
      <c r="G77" s="43">
        <v>47.739113000000003</v>
      </c>
      <c r="H77" s="43">
        <v>47.467224000000002</v>
      </c>
      <c r="I77" s="43">
        <v>48.083019</v>
      </c>
      <c r="J77" s="43">
        <v>47.899253999999999</v>
      </c>
      <c r="K77" s="43">
        <v>47.732174000000001</v>
      </c>
      <c r="L77" s="43">
        <v>47.591712999999999</v>
      </c>
      <c r="M77" s="43">
        <v>47.478096000000001</v>
      </c>
      <c r="N77" s="43">
        <v>47.388496000000004</v>
      </c>
      <c r="O77" s="43">
        <v>47.325741000000001</v>
      </c>
      <c r="P77" s="43">
        <v>47.283588000000002</v>
      </c>
      <c r="Q77" s="43">
        <v>47.257750999999999</v>
      </c>
      <c r="R77" s="43">
        <v>47.181530000000002</v>
      </c>
      <c r="S77" s="43">
        <v>47.105319999999999</v>
      </c>
      <c r="T77" s="43">
        <v>47.039237999999997</v>
      </c>
      <c r="U77" s="43">
        <v>46.98357</v>
      </c>
      <c r="V77" s="43">
        <v>46.935172999999999</v>
      </c>
      <c r="W77" s="43">
        <v>46.894573000000001</v>
      </c>
      <c r="X77" s="43">
        <v>46.862811999999998</v>
      </c>
      <c r="Y77" s="43">
        <v>46.871966999999998</v>
      </c>
      <c r="Z77" s="43">
        <v>46.880333</v>
      </c>
      <c r="AA77" s="43">
        <v>46.890132999999999</v>
      </c>
      <c r="AB77" s="43">
        <v>46.900126999999998</v>
      </c>
      <c r="AC77" s="43">
        <v>46.909686999999998</v>
      </c>
      <c r="AD77" s="43">
        <v>46.921042999999997</v>
      </c>
      <c r="AE77" s="43">
        <v>46.930477000000003</v>
      </c>
      <c r="AF77" s="43">
        <v>46.940609000000002</v>
      </c>
      <c r="AG77" s="43">
        <v>46.951172</v>
      </c>
      <c r="AH77" s="43">
        <v>46.955742000000001</v>
      </c>
      <c r="AI77" s="35" t="s">
        <v>12</v>
      </c>
    </row>
    <row r="78" spans="1:35" ht="15" customHeight="1" x14ac:dyDescent="0.35">
      <c r="A78" s="29" t="s">
        <v>205</v>
      </c>
      <c r="B78" s="33" t="s">
        <v>43</v>
      </c>
      <c r="C78" s="43">
        <v>48.313960999999999</v>
      </c>
      <c r="D78" s="43">
        <v>48.020454000000001</v>
      </c>
      <c r="E78" s="43">
        <v>47.706619000000003</v>
      </c>
      <c r="F78" s="43">
        <v>47.650368</v>
      </c>
      <c r="G78" s="43">
        <v>47.325211000000003</v>
      </c>
      <c r="H78" s="43">
        <v>47.007491999999999</v>
      </c>
      <c r="I78" s="43">
        <v>47.308669999999999</v>
      </c>
      <c r="J78" s="43">
        <v>47.050002999999997</v>
      </c>
      <c r="K78" s="43">
        <v>46.816448000000001</v>
      </c>
      <c r="L78" s="43">
        <v>46.618541999999998</v>
      </c>
      <c r="M78" s="43">
        <v>46.458255999999999</v>
      </c>
      <c r="N78" s="43">
        <v>46.332928000000003</v>
      </c>
      <c r="O78" s="43">
        <v>46.243603</v>
      </c>
      <c r="P78" s="43">
        <v>46.182189999999999</v>
      </c>
      <c r="Q78" s="43">
        <v>46.142124000000003</v>
      </c>
      <c r="R78" s="43">
        <v>46.055672000000001</v>
      </c>
      <c r="S78" s="43">
        <v>45.971694999999997</v>
      </c>
      <c r="T78" s="43">
        <v>45.899642999999998</v>
      </c>
      <c r="U78" s="43">
        <v>45.838901999999997</v>
      </c>
      <c r="V78" s="43">
        <v>45.786026</v>
      </c>
      <c r="W78" s="43">
        <v>45.741256999999997</v>
      </c>
      <c r="X78" s="43">
        <v>45.705246000000002</v>
      </c>
      <c r="Y78" s="43">
        <v>45.714863000000001</v>
      </c>
      <c r="Z78" s="43">
        <v>45.723686000000001</v>
      </c>
      <c r="AA78" s="43">
        <v>45.734051000000001</v>
      </c>
      <c r="AB78" s="43">
        <v>45.744647999999998</v>
      </c>
      <c r="AC78" s="43">
        <v>45.754981999999998</v>
      </c>
      <c r="AD78" s="43">
        <v>45.767178000000001</v>
      </c>
      <c r="AE78" s="43">
        <v>45.777324999999998</v>
      </c>
      <c r="AF78" s="43">
        <v>45.788348999999997</v>
      </c>
      <c r="AG78" s="43">
        <v>45.799770000000002</v>
      </c>
      <c r="AH78" s="43">
        <v>45.805301999999998</v>
      </c>
      <c r="AI78" s="35">
        <v>-1.719E-3</v>
      </c>
    </row>
    <row r="79" spans="1:35" ht="15" customHeight="1" x14ac:dyDescent="0.35">
      <c r="A79" s="29" t="s">
        <v>204</v>
      </c>
      <c r="B79" s="33" t="s">
        <v>41</v>
      </c>
      <c r="C79" s="43">
        <v>0</v>
      </c>
      <c r="D79" s="43">
        <v>0</v>
      </c>
      <c r="E79" s="43">
        <v>0</v>
      </c>
      <c r="F79" s="43">
        <v>0</v>
      </c>
      <c r="G79" s="43">
        <v>0</v>
      </c>
      <c r="H79" s="43">
        <v>0</v>
      </c>
      <c r="I79" s="43">
        <v>0</v>
      </c>
      <c r="J79" s="43">
        <v>0</v>
      </c>
      <c r="K79" s="43">
        <v>0</v>
      </c>
      <c r="L79" s="43">
        <v>0</v>
      </c>
      <c r="M79" s="43">
        <v>0</v>
      </c>
      <c r="N79" s="43">
        <v>0</v>
      </c>
      <c r="O79" s="43">
        <v>0</v>
      </c>
      <c r="P79" s="43">
        <v>0</v>
      </c>
      <c r="Q79" s="43">
        <v>0</v>
      </c>
      <c r="R79" s="43">
        <v>0</v>
      </c>
      <c r="S79" s="43">
        <v>0</v>
      </c>
      <c r="T79" s="43">
        <v>0</v>
      </c>
      <c r="U79" s="43">
        <v>0</v>
      </c>
      <c r="V79" s="43">
        <v>0</v>
      </c>
      <c r="W79" s="43">
        <v>0</v>
      </c>
      <c r="X79" s="43">
        <v>0</v>
      </c>
      <c r="Y79" s="43">
        <v>0</v>
      </c>
      <c r="Z79" s="43">
        <v>0</v>
      </c>
      <c r="AA79" s="43">
        <v>0</v>
      </c>
      <c r="AB79" s="43">
        <v>0</v>
      </c>
      <c r="AC79" s="43">
        <v>0</v>
      </c>
      <c r="AD79" s="43">
        <v>0</v>
      </c>
      <c r="AE79" s="43">
        <v>0</v>
      </c>
      <c r="AF79" s="43">
        <v>0</v>
      </c>
      <c r="AG79" s="43">
        <v>0</v>
      </c>
      <c r="AH79" s="43">
        <v>0</v>
      </c>
      <c r="AI79" s="35" t="s">
        <v>12</v>
      </c>
    </row>
    <row r="80" spans="1:35" ht="15" customHeight="1" x14ac:dyDescent="0.35">
      <c r="A80" s="29" t="s">
        <v>203</v>
      </c>
      <c r="B80" s="33" t="s">
        <v>39</v>
      </c>
      <c r="C80" s="43">
        <v>0</v>
      </c>
      <c r="D80" s="43">
        <v>0</v>
      </c>
      <c r="E80" s="43">
        <v>0</v>
      </c>
      <c r="F80" s="43">
        <v>0</v>
      </c>
      <c r="G80" s="43">
        <v>0</v>
      </c>
      <c r="H80" s="43">
        <v>0</v>
      </c>
      <c r="I80" s="43">
        <v>0</v>
      </c>
      <c r="J80" s="43">
        <v>0</v>
      </c>
      <c r="K80" s="43">
        <v>0</v>
      </c>
      <c r="L80" s="43">
        <v>0</v>
      </c>
      <c r="M80" s="43">
        <v>0</v>
      </c>
      <c r="N80" s="43">
        <v>0</v>
      </c>
      <c r="O80" s="43">
        <v>0</v>
      </c>
      <c r="P80" s="43">
        <v>0</v>
      </c>
      <c r="Q80" s="43">
        <v>0</v>
      </c>
      <c r="R80" s="43">
        <v>0</v>
      </c>
      <c r="S80" s="43">
        <v>0</v>
      </c>
      <c r="T80" s="43">
        <v>0</v>
      </c>
      <c r="U80" s="43">
        <v>0</v>
      </c>
      <c r="V80" s="43">
        <v>0</v>
      </c>
      <c r="W80" s="43">
        <v>0</v>
      </c>
      <c r="X80" s="43">
        <v>0</v>
      </c>
      <c r="Y80" s="43">
        <v>0</v>
      </c>
      <c r="Z80" s="43">
        <v>0</v>
      </c>
      <c r="AA80" s="43">
        <v>0</v>
      </c>
      <c r="AB80" s="43">
        <v>0</v>
      </c>
      <c r="AC80" s="43">
        <v>0</v>
      </c>
      <c r="AD80" s="43">
        <v>0</v>
      </c>
      <c r="AE80" s="43">
        <v>0</v>
      </c>
      <c r="AF80" s="43">
        <v>0</v>
      </c>
      <c r="AG80" s="43">
        <v>0</v>
      </c>
      <c r="AH80" s="43">
        <v>0</v>
      </c>
      <c r="AI80" s="35" t="s">
        <v>12</v>
      </c>
    </row>
    <row r="81" spans="1:35" ht="15" customHeight="1" x14ac:dyDescent="0.35">
      <c r="A81" s="29" t="s">
        <v>202</v>
      </c>
      <c r="B81" s="33" t="s">
        <v>37</v>
      </c>
      <c r="C81" s="43">
        <v>41.723694000000002</v>
      </c>
      <c r="D81" s="43">
        <v>41.504494000000001</v>
      </c>
      <c r="E81" s="43">
        <v>41.589035000000003</v>
      </c>
      <c r="F81" s="43">
        <v>41.500168000000002</v>
      </c>
      <c r="G81" s="43">
        <v>41.441947999999996</v>
      </c>
      <c r="H81" s="43">
        <v>41.522967999999999</v>
      </c>
      <c r="I81" s="43">
        <v>42.105559999999997</v>
      </c>
      <c r="J81" s="43">
        <v>42.031756999999999</v>
      </c>
      <c r="K81" s="43">
        <v>41.966186999999998</v>
      </c>
      <c r="L81" s="43">
        <v>41.911144</v>
      </c>
      <c r="M81" s="43">
        <v>41.865161999999998</v>
      </c>
      <c r="N81" s="43">
        <v>41.826546</v>
      </c>
      <c r="O81" s="43">
        <v>41.798653000000002</v>
      </c>
      <c r="P81" s="43">
        <v>41.779437999999999</v>
      </c>
      <c r="Q81" s="43">
        <v>41.767864000000003</v>
      </c>
      <c r="R81" s="43">
        <v>41.700156999999997</v>
      </c>
      <c r="S81" s="43">
        <v>41.628506000000002</v>
      </c>
      <c r="T81" s="43">
        <v>41.565147000000003</v>
      </c>
      <c r="U81" s="43">
        <v>41.511100999999996</v>
      </c>
      <c r="V81" s="43">
        <v>41.464596</v>
      </c>
      <c r="W81" s="43">
        <v>41.426392</v>
      </c>
      <c r="X81" s="43">
        <v>41.398014000000003</v>
      </c>
      <c r="Y81" s="43">
        <v>41.405025000000002</v>
      </c>
      <c r="Z81" s="43">
        <v>41.411563999999998</v>
      </c>
      <c r="AA81" s="43">
        <v>41.419586000000002</v>
      </c>
      <c r="AB81" s="43">
        <v>41.427979000000001</v>
      </c>
      <c r="AC81" s="43">
        <v>41.436248999999997</v>
      </c>
      <c r="AD81" s="43">
        <v>41.446334999999998</v>
      </c>
      <c r="AE81" s="43">
        <v>41.454762000000002</v>
      </c>
      <c r="AF81" s="43">
        <v>41.464084999999997</v>
      </c>
      <c r="AG81" s="43">
        <v>41.473911000000001</v>
      </c>
      <c r="AH81" s="43">
        <v>41.477961999999998</v>
      </c>
      <c r="AI81" s="35">
        <v>-1.9100000000000001E-4</v>
      </c>
    </row>
    <row r="82" spans="1:35" ht="15" customHeight="1" x14ac:dyDescent="0.35">
      <c r="A82" s="29" t="s">
        <v>201</v>
      </c>
      <c r="B82" s="33" t="s">
        <v>35</v>
      </c>
      <c r="C82" s="43">
        <v>0</v>
      </c>
      <c r="D82" s="43">
        <v>51.292648</v>
      </c>
      <c r="E82" s="43">
        <v>51.106468</v>
      </c>
      <c r="F82" s="43">
        <v>50.858027999999997</v>
      </c>
      <c r="G82" s="43">
        <v>50.646526000000001</v>
      </c>
      <c r="H82" s="43">
        <v>50.514256000000003</v>
      </c>
      <c r="I82" s="43">
        <v>50.963023999999997</v>
      </c>
      <c r="J82" s="43">
        <v>50.700026999999999</v>
      </c>
      <c r="K82" s="43">
        <v>50.462029000000001</v>
      </c>
      <c r="L82" s="43">
        <v>50.259566999999997</v>
      </c>
      <c r="M82" s="43">
        <v>50.094841000000002</v>
      </c>
      <c r="N82" s="43">
        <v>49.965561000000001</v>
      </c>
      <c r="O82" s="43">
        <v>49.871642999999999</v>
      </c>
      <c r="P82" s="43">
        <v>49.805675999999998</v>
      </c>
      <c r="Q82" s="43">
        <v>49.761432999999997</v>
      </c>
      <c r="R82" s="43">
        <v>49.670836999999999</v>
      </c>
      <c r="S82" s="43">
        <v>49.582622999999998</v>
      </c>
      <c r="T82" s="43">
        <v>49.506481000000001</v>
      </c>
      <c r="U82" s="43">
        <v>49.441792</v>
      </c>
      <c r="V82" s="43">
        <v>49.385486999999998</v>
      </c>
      <c r="W82" s="43">
        <v>49.337597000000002</v>
      </c>
      <c r="X82" s="43">
        <v>49.298274999999997</v>
      </c>
      <c r="Y82" s="43">
        <v>49.305816999999998</v>
      </c>
      <c r="Z82" s="43">
        <v>49.312877999999998</v>
      </c>
      <c r="AA82" s="43">
        <v>49.321350000000002</v>
      </c>
      <c r="AB82" s="43">
        <v>49.330143</v>
      </c>
      <c r="AC82" s="43">
        <v>49.338734000000002</v>
      </c>
      <c r="AD82" s="43">
        <v>49.349086999999997</v>
      </c>
      <c r="AE82" s="43">
        <v>49.357821999999999</v>
      </c>
      <c r="AF82" s="43">
        <v>49.367351999999997</v>
      </c>
      <c r="AG82" s="43">
        <v>49.377357000000003</v>
      </c>
      <c r="AH82" s="43">
        <v>49.381500000000003</v>
      </c>
      <c r="AI82" s="35" t="s">
        <v>12</v>
      </c>
    </row>
    <row r="83" spans="1:35" ht="15" customHeight="1" x14ac:dyDescent="0.35">
      <c r="A83" s="29" t="s">
        <v>200</v>
      </c>
      <c r="B83" s="33" t="s">
        <v>33</v>
      </c>
      <c r="C83" s="43">
        <v>0</v>
      </c>
      <c r="D83" s="43">
        <v>0</v>
      </c>
      <c r="E83" s="43">
        <v>0</v>
      </c>
      <c r="F83" s="43">
        <v>0</v>
      </c>
      <c r="G83" s="43">
        <v>0</v>
      </c>
      <c r="H83" s="43">
        <v>0</v>
      </c>
      <c r="I83" s="43">
        <v>0</v>
      </c>
      <c r="J83" s="43">
        <v>0</v>
      </c>
      <c r="K83" s="43">
        <v>0</v>
      </c>
      <c r="L83" s="43">
        <v>0</v>
      </c>
      <c r="M83" s="43">
        <v>0</v>
      </c>
      <c r="N83" s="43">
        <v>0</v>
      </c>
      <c r="O83" s="43">
        <v>0</v>
      </c>
      <c r="P83" s="43">
        <v>0</v>
      </c>
      <c r="Q83" s="43">
        <v>0</v>
      </c>
      <c r="R83" s="43">
        <v>0</v>
      </c>
      <c r="S83" s="43">
        <v>0</v>
      </c>
      <c r="T83" s="43">
        <v>0</v>
      </c>
      <c r="U83" s="43">
        <v>0</v>
      </c>
      <c r="V83" s="43">
        <v>0</v>
      </c>
      <c r="W83" s="43">
        <v>0</v>
      </c>
      <c r="X83" s="43">
        <v>0</v>
      </c>
      <c r="Y83" s="43">
        <v>0</v>
      </c>
      <c r="Z83" s="43">
        <v>0</v>
      </c>
      <c r="AA83" s="43">
        <v>0</v>
      </c>
      <c r="AB83" s="43">
        <v>0</v>
      </c>
      <c r="AC83" s="43">
        <v>0</v>
      </c>
      <c r="AD83" s="43">
        <v>0</v>
      </c>
      <c r="AE83" s="43">
        <v>0</v>
      </c>
      <c r="AF83" s="43">
        <v>0</v>
      </c>
      <c r="AG83" s="43">
        <v>0</v>
      </c>
      <c r="AH83" s="43">
        <v>0</v>
      </c>
      <c r="AI83" s="35" t="s">
        <v>12</v>
      </c>
    </row>
    <row r="84" spans="1:35" ht="15" customHeight="1" x14ac:dyDescent="0.35">
      <c r="A84" s="29" t="s">
        <v>662</v>
      </c>
      <c r="B84" s="33" t="s">
        <v>558</v>
      </c>
      <c r="C84" s="43">
        <v>0</v>
      </c>
      <c r="D84" s="43">
        <v>0</v>
      </c>
      <c r="E84" s="43">
        <v>0</v>
      </c>
      <c r="F84" s="43">
        <v>0</v>
      </c>
      <c r="G84" s="43">
        <v>0</v>
      </c>
      <c r="H84" s="43">
        <v>0</v>
      </c>
      <c r="I84" s="43">
        <v>42.261794999999999</v>
      </c>
      <c r="J84" s="43">
        <v>42.118504000000001</v>
      </c>
      <c r="K84" s="43">
        <v>41.990367999999997</v>
      </c>
      <c r="L84" s="43">
        <v>41.885928999999997</v>
      </c>
      <c r="M84" s="43">
        <v>41.804259999999999</v>
      </c>
      <c r="N84" s="43">
        <v>41.741565999999999</v>
      </c>
      <c r="O84" s="43">
        <v>41.703808000000002</v>
      </c>
      <c r="P84" s="43">
        <v>41.683815000000003</v>
      </c>
      <c r="Q84" s="43">
        <v>41.676406999999998</v>
      </c>
      <c r="R84" s="43">
        <v>41.617519000000001</v>
      </c>
      <c r="S84" s="43">
        <v>41.557487000000002</v>
      </c>
      <c r="T84" s="43">
        <v>41.506222000000001</v>
      </c>
      <c r="U84" s="43">
        <v>41.465232999999998</v>
      </c>
      <c r="V84" s="43">
        <v>41.430103000000003</v>
      </c>
      <c r="W84" s="43">
        <v>41.402031000000001</v>
      </c>
      <c r="X84" s="43">
        <v>41.383305</v>
      </c>
      <c r="Y84" s="43">
        <v>41.399878999999999</v>
      </c>
      <c r="Z84" s="43">
        <v>41.414901999999998</v>
      </c>
      <c r="AA84" s="43">
        <v>41.432361999999998</v>
      </c>
      <c r="AB84" s="43">
        <v>41.450088999999998</v>
      </c>
      <c r="AC84" s="43">
        <v>41.467052000000002</v>
      </c>
      <c r="AD84" s="43">
        <v>41.486865999999999</v>
      </c>
      <c r="AE84" s="43">
        <v>41.504294999999999</v>
      </c>
      <c r="AF84" s="43">
        <v>41.525664999999996</v>
      </c>
      <c r="AG84" s="43">
        <v>41.547488999999999</v>
      </c>
      <c r="AH84" s="43">
        <v>41.563408000000003</v>
      </c>
      <c r="AI84" s="35" t="s">
        <v>12</v>
      </c>
    </row>
    <row r="85" spans="1:35" ht="15" customHeight="1" x14ac:dyDescent="0.35">
      <c r="A85" s="29" t="s">
        <v>663</v>
      </c>
      <c r="B85" s="33" t="s">
        <v>559</v>
      </c>
      <c r="C85" s="43">
        <v>0</v>
      </c>
      <c r="D85" s="43">
        <v>0</v>
      </c>
      <c r="E85" s="43">
        <v>0</v>
      </c>
      <c r="F85" s="43">
        <v>0</v>
      </c>
      <c r="G85" s="43">
        <v>0</v>
      </c>
      <c r="H85" s="43">
        <v>0</v>
      </c>
      <c r="I85" s="43">
        <v>0</v>
      </c>
      <c r="J85" s="43">
        <v>0</v>
      </c>
      <c r="K85" s="43">
        <v>0</v>
      </c>
      <c r="L85" s="43">
        <v>0</v>
      </c>
      <c r="M85" s="43">
        <v>0</v>
      </c>
      <c r="N85" s="43">
        <v>0</v>
      </c>
      <c r="O85" s="43">
        <v>0</v>
      </c>
      <c r="P85" s="43">
        <v>0</v>
      </c>
      <c r="Q85" s="43">
        <v>0</v>
      </c>
      <c r="R85" s="43">
        <v>0</v>
      </c>
      <c r="S85" s="43">
        <v>0</v>
      </c>
      <c r="T85" s="43">
        <v>0</v>
      </c>
      <c r="U85" s="43">
        <v>0</v>
      </c>
      <c r="V85" s="43">
        <v>0</v>
      </c>
      <c r="W85" s="43">
        <v>0</v>
      </c>
      <c r="X85" s="43">
        <v>0</v>
      </c>
      <c r="Y85" s="43">
        <v>0</v>
      </c>
      <c r="Z85" s="43">
        <v>0</v>
      </c>
      <c r="AA85" s="43">
        <v>0</v>
      </c>
      <c r="AB85" s="43">
        <v>0</v>
      </c>
      <c r="AC85" s="43">
        <v>0</v>
      </c>
      <c r="AD85" s="43">
        <v>0</v>
      </c>
      <c r="AE85" s="43">
        <v>0</v>
      </c>
      <c r="AF85" s="43">
        <v>0</v>
      </c>
      <c r="AG85" s="43">
        <v>0</v>
      </c>
      <c r="AH85" s="43">
        <v>0</v>
      </c>
      <c r="AI85" s="35" t="s">
        <v>12</v>
      </c>
    </row>
    <row r="87" spans="1:35" ht="15" customHeight="1" x14ac:dyDescent="0.35">
      <c r="A87" s="25"/>
      <c r="B87" s="32" t="s">
        <v>199</v>
      </c>
      <c r="C87" s="25"/>
      <c r="D87" s="25"/>
      <c r="E87" s="25"/>
      <c r="F87" s="25"/>
      <c r="G87" s="25"/>
      <c r="H87" s="25"/>
      <c r="I87" s="25"/>
      <c r="J87" s="25"/>
      <c r="K87" s="25"/>
      <c r="L87" s="25"/>
      <c r="M87" s="25"/>
      <c r="N87" s="25"/>
      <c r="O87" s="25"/>
      <c r="P87" s="25"/>
      <c r="Q87" s="25"/>
      <c r="R87" s="25"/>
      <c r="S87" s="25"/>
      <c r="T87" s="25"/>
      <c r="U87" s="25"/>
      <c r="V87" s="25"/>
      <c r="W87" s="25"/>
      <c r="X87" s="25"/>
      <c r="Y87" s="25"/>
      <c r="Z87" s="25"/>
      <c r="AA87" s="25"/>
      <c r="AB87" s="25"/>
      <c r="AC87" s="25"/>
      <c r="AD87" s="25"/>
      <c r="AE87" s="25"/>
      <c r="AF87" s="25"/>
      <c r="AG87" s="25"/>
      <c r="AH87" s="25"/>
      <c r="AI87" s="25"/>
    </row>
    <row r="88" spans="1:35" ht="15" customHeight="1" x14ac:dyDescent="0.35">
      <c r="A88" s="29" t="s">
        <v>198</v>
      </c>
      <c r="B88" s="33" t="s">
        <v>55</v>
      </c>
      <c r="C88" s="43">
        <v>76.988372999999996</v>
      </c>
      <c r="D88" s="43">
        <v>77.502335000000002</v>
      </c>
      <c r="E88" s="43">
        <v>77.919785000000005</v>
      </c>
      <c r="F88" s="43">
        <v>78.273269999999997</v>
      </c>
      <c r="G88" s="43">
        <v>78.67868</v>
      </c>
      <c r="H88" s="43">
        <v>78.860007999999993</v>
      </c>
      <c r="I88" s="43">
        <v>79.131027000000003</v>
      </c>
      <c r="J88" s="43">
        <v>79.230002999999996</v>
      </c>
      <c r="K88" s="43">
        <v>79.331619000000003</v>
      </c>
      <c r="L88" s="43">
        <v>79.432998999999995</v>
      </c>
      <c r="M88" s="43">
        <v>79.531586000000004</v>
      </c>
      <c r="N88" s="43">
        <v>79.625709999999998</v>
      </c>
      <c r="O88" s="43">
        <v>79.722504000000001</v>
      </c>
      <c r="P88" s="43">
        <v>79.819168000000005</v>
      </c>
      <c r="Q88" s="43">
        <v>79.913680999999997</v>
      </c>
      <c r="R88" s="43">
        <v>79.944427000000005</v>
      </c>
      <c r="S88" s="43">
        <v>79.962897999999996</v>
      </c>
      <c r="T88" s="43">
        <v>79.980475999999996</v>
      </c>
      <c r="U88" s="43">
        <v>79.999709999999993</v>
      </c>
      <c r="V88" s="43">
        <v>80.017478999999994</v>
      </c>
      <c r="W88" s="43">
        <v>80.035538000000003</v>
      </c>
      <c r="X88" s="43">
        <v>80.055649000000003</v>
      </c>
      <c r="Y88" s="43">
        <v>80.074684000000005</v>
      </c>
      <c r="Z88" s="43">
        <v>80.092499000000004</v>
      </c>
      <c r="AA88" s="43">
        <v>80.111701999999994</v>
      </c>
      <c r="AB88" s="43">
        <v>80.130745000000005</v>
      </c>
      <c r="AC88" s="43">
        <v>80.150017000000005</v>
      </c>
      <c r="AD88" s="43">
        <v>80.170592999999997</v>
      </c>
      <c r="AE88" s="43">
        <v>80.188095000000004</v>
      </c>
      <c r="AF88" s="43">
        <v>80.207313999999997</v>
      </c>
      <c r="AG88" s="43">
        <v>80.226134999999999</v>
      </c>
      <c r="AH88" s="43">
        <v>80.239234999999994</v>
      </c>
      <c r="AI88" s="35">
        <v>1.335E-3</v>
      </c>
    </row>
    <row r="89" spans="1:35" ht="15" customHeight="1" x14ac:dyDescent="0.35">
      <c r="A89" s="29" t="s">
        <v>197</v>
      </c>
      <c r="B89" s="33" t="s">
        <v>53</v>
      </c>
      <c r="C89" s="43">
        <v>40.780684999999998</v>
      </c>
      <c r="D89" s="43">
        <v>41.356316</v>
      </c>
      <c r="E89" s="43">
        <v>41.955646999999999</v>
      </c>
      <c r="F89" s="43">
        <v>42.529888</v>
      </c>
      <c r="G89" s="43">
        <v>42.917842999999998</v>
      </c>
      <c r="H89" s="43">
        <v>43.118355000000001</v>
      </c>
      <c r="I89" s="43">
        <v>43.403148999999999</v>
      </c>
      <c r="J89" s="43">
        <v>43.524109000000003</v>
      </c>
      <c r="K89" s="43">
        <v>43.625278000000002</v>
      </c>
      <c r="L89" s="43">
        <v>43.729588</v>
      </c>
      <c r="M89" s="43">
        <v>43.833064999999998</v>
      </c>
      <c r="N89" s="43">
        <v>43.930526999999998</v>
      </c>
      <c r="O89" s="43">
        <v>44.034171999999998</v>
      </c>
      <c r="P89" s="43">
        <v>44.13702</v>
      </c>
      <c r="Q89" s="43">
        <v>44.235267999999998</v>
      </c>
      <c r="R89" s="43">
        <v>44.272015000000003</v>
      </c>
      <c r="S89" s="43">
        <v>44.297091999999999</v>
      </c>
      <c r="T89" s="43">
        <v>44.321404000000001</v>
      </c>
      <c r="U89" s="43">
        <v>44.348537</v>
      </c>
      <c r="V89" s="43">
        <v>44.373157999999997</v>
      </c>
      <c r="W89" s="43">
        <v>44.397407999999999</v>
      </c>
      <c r="X89" s="43">
        <v>44.425682000000002</v>
      </c>
      <c r="Y89" s="43">
        <v>44.452216999999997</v>
      </c>
      <c r="Z89" s="43">
        <v>44.476334000000001</v>
      </c>
      <c r="AA89" s="43">
        <v>44.503452000000003</v>
      </c>
      <c r="AB89" s="43">
        <v>44.530521</v>
      </c>
      <c r="AC89" s="43">
        <v>44.556426999999999</v>
      </c>
      <c r="AD89" s="43">
        <v>44.586117000000002</v>
      </c>
      <c r="AE89" s="43">
        <v>44.610821000000001</v>
      </c>
      <c r="AF89" s="43">
        <v>44.637146000000001</v>
      </c>
      <c r="AG89" s="43">
        <v>44.664017000000001</v>
      </c>
      <c r="AH89" s="43">
        <v>44.685172999999999</v>
      </c>
      <c r="AI89" s="35">
        <v>2.954E-3</v>
      </c>
    </row>
    <row r="90" spans="1:35" ht="15" customHeight="1" x14ac:dyDescent="0.35">
      <c r="A90" s="29" t="s">
        <v>196</v>
      </c>
      <c r="B90" s="33" t="s">
        <v>51</v>
      </c>
      <c r="C90" s="43">
        <v>30.050360000000001</v>
      </c>
      <c r="D90" s="43">
        <v>30.489699999999999</v>
      </c>
      <c r="E90" s="43">
        <v>30.848600000000001</v>
      </c>
      <c r="F90" s="43">
        <v>31.235959999999999</v>
      </c>
      <c r="G90" s="43">
        <v>31.634007</v>
      </c>
      <c r="H90" s="43">
        <v>31.832127</v>
      </c>
      <c r="I90" s="43">
        <v>32.247177000000001</v>
      </c>
      <c r="J90" s="43">
        <v>32.359898000000001</v>
      </c>
      <c r="K90" s="43">
        <v>32.461360999999997</v>
      </c>
      <c r="L90" s="43">
        <v>32.566803</v>
      </c>
      <c r="M90" s="43">
        <v>32.670841000000003</v>
      </c>
      <c r="N90" s="43">
        <v>32.768901999999997</v>
      </c>
      <c r="O90" s="43">
        <v>32.874203000000001</v>
      </c>
      <c r="P90" s="43">
        <v>32.979121999999997</v>
      </c>
      <c r="Q90" s="43">
        <v>33.079577999999998</v>
      </c>
      <c r="R90" s="43">
        <v>33.119171000000001</v>
      </c>
      <c r="S90" s="43">
        <v>33.146912</v>
      </c>
      <c r="T90" s="43">
        <v>33.173591999999999</v>
      </c>
      <c r="U90" s="43">
        <v>33.203304000000003</v>
      </c>
      <c r="V90" s="43">
        <v>33.229931000000001</v>
      </c>
      <c r="W90" s="43">
        <v>33.255806</v>
      </c>
      <c r="X90" s="43">
        <v>33.286189999999998</v>
      </c>
      <c r="Y90" s="43">
        <v>33.314751000000001</v>
      </c>
      <c r="Z90" s="43">
        <v>33.340575999999999</v>
      </c>
      <c r="AA90" s="43">
        <v>33.36956</v>
      </c>
      <c r="AB90" s="43">
        <v>33.39846</v>
      </c>
      <c r="AC90" s="43">
        <v>33.426071</v>
      </c>
      <c r="AD90" s="43">
        <v>33.457748000000002</v>
      </c>
      <c r="AE90" s="43">
        <v>33.483989999999999</v>
      </c>
      <c r="AF90" s="43">
        <v>33.511974000000002</v>
      </c>
      <c r="AG90" s="43">
        <v>33.540534999999998</v>
      </c>
      <c r="AH90" s="43">
        <v>33.563353999999997</v>
      </c>
      <c r="AI90" s="35">
        <v>3.5729999999999998E-3</v>
      </c>
    </row>
    <row r="91" spans="1:35" ht="15" customHeight="1" x14ac:dyDescent="0.35">
      <c r="A91" s="29" t="s">
        <v>195</v>
      </c>
      <c r="B91" s="33" t="s">
        <v>49</v>
      </c>
      <c r="C91" s="43">
        <v>28.234976</v>
      </c>
      <c r="D91" s="43">
        <v>28.667066999999999</v>
      </c>
      <c r="E91" s="43">
        <v>28.953503000000001</v>
      </c>
      <c r="F91" s="43">
        <v>29.275880999999998</v>
      </c>
      <c r="G91" s="43">
        <v>29.582280999999998</v>
      </c>
      <c r="H91" s="43">
        <v>29.814539</v>
      </c>
      <c r="I91" s="43">
        <v>30.413831999999999</v>
      </c>
      <c r="J91" s="43">
        <v>30.527225000000001</v>
      </c>
      <c r="K91" s="43">
        <v>30.626968000000002</v>
      </c>
      <c r="L91" s="43">
        <v>30.729953999999999</v>
      </c>
      <c r="M91" s="43">
        <v>30.831638000000002</v>
      </c>
      <c r="N91" s="43">
        <v>30.927813</v>
      </c>
      <c r="O91" s="43">
        <v>31.031217999999999</v>
      </c>
      <c r="P91" s="43">
        <v>31.133120999999999</v>
      </c>
      <c r="Q91" s="43">
        <v>31.231874000000001</v>
      </c>
      <c r="R91" s="43">
        <v>31.269521999999998</v>
      </c>
      <c r="S91" s="43">
        <v>31.297685999999999</v>
      </c>
      <c r="T91" s="43">
        <v>31.324860000000001</v>
      </c>
      <c r="U91" s="43">
        <v>31.353187999999999</v>
      </c>
      <c r="V91" s="43">
        <v>31.377946999999999</v>
      </c>
      <c r="W91" s="43">
        <v>31.401942999999999</v>
      </c>
      <c r="X91" s="43">
        <v>31.429587999999999</v>
      </c>
      <c r="Y91" s="43">
        <v>31.455359000000001</v>
      </c>
      <c r="Z91" s="43">
        <v>31.478622000000001</v>
      </c>
      <c r="AA91" s="43">
        <v>31.504567999999999</v>
      </c>
      <c r="AB91" s="43">
        <v>31.530327</v>
      </c>
      <c r="AC91" s="43">
        <v>31.554798000000002</v>
      </c>
      <c r="AD91" s="43">
        <v>31.582794</v>
      </c>
      <c r="AE91" s="43">
        <v>31.606081</v>
      </c>
      <c r="AF91" s="43">
        <v>31.630704999999999</v>
      </c>
      <c r="AG91" s="43">
        <v>31.655809000000001</v>
      </c>
      <c r="AH91" s="43">
        <v>31.67502</v>
      </c>
      <c r="AI91" s="35">
        <v>3.7160000000000001E-3</v>
      </c>
    </row>
    <row r="92" spans="1:35" ht="15" customHeight="1" x14ac:dyDescent="0.35">
      <c r="A92" s="29" t="s">
        <v>194</v>
      </c>
      <c r="B92" s="33" t="s">
        <v>47</v>
      </c>
      <c r="C92" s="43">
        <v>35.165894000000002</v>
      </c>
      <c r="D92" s="43">
        <v>35.619610000000002</v>
      </c>
      <c r="E92" s="43">
        <v>35.988883999999999</v>
      </c>
      <c r="F92" s="43">
        <v>36.318309999999997</v>
      </c>
      <c r="G92" s="43">
        <v>36.579441000000003</v>
      </c>
      <c r="H92" s="43">
        <v>36.788612000000001</v>
      </c>
      <c r="I92" s="43">
        <v>37.257828000000003</v>
      </c>
      <c r="J92" s="43">
        <v>37.371819000000002</v>
      </c>
      <c r="K92" s="43">
        <v>37.471637999999999</v>
      </c>
      <c r="L92" s="43">
        <v>37.574447999999997</v>
      </c>
      <c r="M92" s="43">
        <v>37.676388000000003</v>
      </c>
      <c r="N92" s="43">
        <v>37.772942</v>
      </c>
      <c r="O92" s="43">
        <v>37.875973000000002</v>
      </c>
      <c r="P92" s="43">
        <v>37.978630000000003</v>
      </c>
      <c r="Q92" s="43">
        <v>38.077365999999998</v>
      </c>
      <c r="R92" s="43">
        <v>38.113644000000001</v>
      </c>
      <c r="S92" s="43">
        <v>38.139156</v>
      </c>
      <c r="T92" s="43">
        <v>38.163924999999999</v>
      </c>
      <c r="U92" s="43">
        <v>38.190651000000003</v>
      </c>
      <c r="V92" s="43">
        <v>38.214447</v>
      </c>
      <c r="W92" s="43">
        <v>38.237639999999999</v>
      </c>
      <c r="X92" s="43">
        <v>38.263984999999998</v>
      </c>
      <c r="Y92" s="43">
        <v>38.288544000000002</v>
      </c>
      <c r="Z92" s="43">
        <v>38.310760000000002</v>
      </c>
      <c r="AA92" s="43">
        <v>38.335239000000001</v>
      </c>
      <c r="AB92" s="43">
        <v>38.359467000000002</v>
      </c>
      <c r="AC92" s="43">
        <v>38.382286000000001</v>
      </c>
      <c r="AD92" s="43">
        <v>38.408175999999997</v>
      </c>
      <c r="AE92" s="43">
        <v>38.429771000000002</v>
      </c>
      <c r="AF92" s="43">
        <v>38.452576000000001</v>
      </c>
      <c r="AG92" s="43">
        <v>38.475769</v>
      </c>
      <c r="AH92" s="43">
        <v>38.492984999999997</v>
      </c>
      <c r="AI92" s="35">
        <v>2.9199999999999999E-3</v>
      </c>
    </row>
    <row r="93" spans="1:35" ht="15" customHeight="1" x14ac:dyDescent="0.35">
      <c r="A93" s="29" t="s">
        <v>193</v>
      </c>
      <c r="B93" s="33" t="s">
        <v>45</v>
      </c>
      <c r="C93" s="43">
        <v>102.620712</v>
      </c>
      <c r="D93" s="43">
        <v>103.215073</v>
      </c>
      <c r="E93" s="43">
        <v>103.68476099999999</v>
      </c>
      <c r="F93" s="43">
        <v>104.00194500000001</v>
      </c>
      <c r="G93" s="43">
        <v>104.43008399999999</v>
      </c>
      <c r="H93" s="43">
        <v>104.595657</v>
      </c>
      <c r="I93" s="43">
        <v>104.801338</v>
      </c>
      <c r="J93" s="43">
        <v>104.919899</v>
      </c>
      <c r="K93" s="43">
        <v>105.027069</v>
      </c>
      <c r="L93" s="43">
        <v>105.136185</v>
      </c>
      <c r="M93" s="43">
        <v>105.241844</v>
      </c>
      <c r="N93" s="43">
        <v>105.339394</v>
      </c>
      <c r="O93" s="43">
        <v>105.44094800000001</v>
      </c>
      <c r="P93" s="43">
        <v>105.541336</v>
      </c>
      <c r="Q93" s="43">
        <v>105.638695</v>
      </c>
      <c r="R93" s="43">
        <v>105.672607</v>
      </c>
      <c r="S93" s="43">
        <v>105.694855</v>
      </c>
      <c r="T93" s="43">
        <v>105.71817</v>
      </c>
      <c r="U93" s="43">
        <v>105.743973</v>
      </c>
      <c r="V93" s="43">
        <v>105.766701</v>
      </c>
      <c r="W93" s="43">
        <v>105.789452</v>
      </c>
      <c r="X93" s="43">
        <v>105.815315</v>
      </c>
      <c r="Y93" s="43">
        <v>105.8395</v>
      </c>
      <c r="Z93" s="43">
        <v>105.86142</v>
      </c>
      <c r="AA93" s="43">
        <v>105.88555100000001</v>
      </c>
      <c r="AB93" s="43">
        <v>105.90952299999999</v>
      </c>
      <c r="AC93" s="43">
        <v>105.932846</v>
      </c>
      <c r="AD93" s="43">
        <v>105.958893</v>
      </c>
      <c r="AE93" s="43">
        <v>105.980644</v>
      </c>
      <c r="AF93" s="43">
        <v>106.00411200000001</v>
      </c>
      <c r="AG93" s="43">
        <v>106.027458</v>
      </c>
      <c r="AH93" s="43">
        <v>106.044968</v>
      </c>
      <c r="AI93" s="35">
        <v>1.059E-3</v>
      </c>
    </row>
    <row r="94" spans="1:35" ht="15" customHeight="1" x14ac:dyDescent="0.35">
      <c r="A94" s="29" t="s">
        <v>664</v>
      </c>
      <c r="B94" s="33" t="s">
        <v>556</v>
      </c>
      <c r="C94" s="43">
        <v>27.301653000000002</v>
      </c>
      <c r="D94" s="43">
        <v>27.736082</v>
      </c>
      <c r="E94" s="43">
        <v>28.055021</v>
      </c>
      <c r="F94" s="43">
        <v>28.416613000000002</v>
      </c>
      <c r="G94" s="43">
        <v>28.786728</v>
      </c>
      <c r="H94" s="43">
        <v>29.032599999999999</v>
      </c>
      <c r="I94" s="43">
        <v>29.406203999999999</v>
      </c>
      <c r="J94" s="43">
        <v>29.508654</v>
      </c>
      <c r="K94" s="43">
        <v>29.603251</v>
      </c>
      <c r="L94" s="43">
        <v>29.700292999999999</v>
      </c>
      <c r="M94" s="43">
        <v>29.797373</v>
      </c>
      <c r="N94" s="43">
        <v>29.890242000000001</v>
      </c>
      <c r="O94" s="43">
        <v>29.987501000000002</v>
      </c>
      <c r="P94" s="43">
        <v>30.084458999999999</v>
      </c>
      <c r="Q94" s="43">
        <v>30.180392999999999</v>
      </c>
      <c r="R94" s="43">
        <v>30.213009</v>
      </c>
      <c r="S94" s="43">
        <v>30.233843</v>
      </c>
      <c r="T94" s="43">
        <v>30.253647000000001</v>
      </c>
      <c r="U94" s="43">
        <v>30.275368</v>
      </c>
      <c r="V94" s="43">
        <v>30.295249999999999</v>
      </c>
      <c r="W94" s="43">
        <v>30.314609999999998</v>
      </c>
      <c r="X94" s="43">
        <v>30.336836000000002</v>
      </c>
      <c r="Y94" s="43">
        <v>30.357755999999998</v>
      </c>
      <c r="Z94" s="43">
        <v>30.376847999999999</v>
      </c>
      <c r="AA94" s="43">
        <v>30.39809</v>
      </c>
      <c r="AB94" s="43">
        <v>30.419253999999999</v>
      </c>
      <c r="AC94" s="43">
        <v>30.439674</v>
      </c>
      <c r="AD94" s="43">
        <v>30.462875</v>
      </c>
      <c r="AE94" s="43">
        <v>30.482462000000002</v>
      </c>
      <c r="AF94" s="43">
        <v>30.503328</v>
      </c>
      <c r="AG94" s="43">
        <v>30.526861</v>
      </c>
      <c r="AH94" s="43">
        <v>30.555387</v>
      </c>
      <c r="AI94" s="35">
        <v>3.6389999999999999E-3</v>
      </c>
    </row>
    <row r="95" spans="1:35" ht="15" customHeight="1" x14ac:dyDescent="0.35">
      <c r="A95" s="29" t="s">
        <v>665</v>
      </c>
      <c r="B95" s="33" t="s">
        <v>557</v>
      </c>
      <c r="C95" s="43">
        <v>35.756512000000001</v>
      </c>
      <c r="D95" s="43">
        <v>36.271056999999999</v>
      </c>
      <c r="E95" s="43">
        <v>36.64819</v>
      </c>
      <c r="F95" s="43">
        <v>36.973221000000002</v>
      </c>
      <c r="G95" s="43">
        <v>37.349013999999997</v>
      </c>
      <c r="H95" s="43">
        <v>37.614547999999999</v>
      </c>
      <c r="I95" s="43">
        <v>37.865276000000001</v>
      </c>
      <c r="J95" s="43">
        <v>37.958885000000002</v>
      </c>
      <c r="K95" s="43">
        <v>38.052005999999999</v>
      </c>
      <c r="L95" s="43">
        <v>38.147545000000001</v>
      </c>
      <c r="M95" s="43">
        <v>38.242355000000003</v>
      </c>
      <c r="N95" s="43">
        <v>38.334248000000002</v>
      </c>
      <c r="O95" s="43">
        <v>38.428725999999997</v>
      </c>
      <c r="P95" s="43">
        <v>38.523094</v>
      </c>
      <c r="Q95" s="43">
        <v>38.614913999999999</v>
      </c>
      <c r="R95" s="43">
        <v>38.642906000000004</v>
      </c>
      <c r="S95" s="43">
        <v>38.659163999999997</v>
      </c>
      <c r="T95" s="43">
        <v>38.674847</v>
      </c>
      <c r="U95" s="43">
        <v>38.691895000000002</v>
      </c>
      <c r="V95" s="43">
        <v>38.707535</v>
      </c>
      <c r="W95" s="43">
        <v>38.723289000000001</v>
      </c>
      <c r="X95" s="43">
        <v>38.740929000000001</v>
      </c>
      <c r="Y95" s="43">
        <v>38.757567999999999</v>
      </c>
      <c r="Z95" s="43">
        <v>38.772956999999998</v>
      </c>
      <c r="AA95" s="43">
        <v>38.789558</v>
      </c>
      <c r="AB95" s="43">
        <v>38.806072</v>
      </c>
      <c r="AC95" s="43">
        <v>38.822535999999999</v>
      </c>
      <c r="AD95" s="43">
        <v>38.840519</v>
      </c>
      <c r="AE95" s="43">
        <v>38.855961000000001</v>
      </c>
      <c r="AF95" s="43">
        <v>38.872909999999997</v>
      </c>
      <c r="AG95" s="43">
        <v>38.889408000000003</v>
      </c>
      <c r="AH95" s="43">
        <v>38.900207999999999</v>
      </c>
      <c r="AI95" s="35">
        <v>2.722E-3</v>
      </c>
    </row>
    <row r="96" spans="1:35" ht="15" customHeight="1" x14ac:dyDescent="0.35">
      <c r="A96" s="29" t="s">
        <v>192</v>
      </c>
      <c r="B96" s="33" t="s">
        <v>43</v>
      </c>
      <c r="C96" s="43">
        <v>33.177280000000003</v>
      </c>
      <c r="D96" s="43">
        <v>33.787151000000001</v>
      </c>
      <c r="E96" s="43">
        <v>34.216000000000001</v>
      </c>
      <c r="F96" s="43">
        <v>34.67342</v>
      </c>
      <c r="G96" s="43">
        <v>34.934165999999998</v>
      </c>
      <c r="H96" s="43">
        <v>35.303165</v>
      </c>
      <c r="I96" s="43">
        <v>35.720340999999998</v>
      </c>
      <c r="J96" s="43">
        <v>35.813580000000002</v>
      </c>
      <c r="K96" s="43">
        <v>35.906750000000002</v>
      </c>
      <c r="L96" s="43">
        <v>36.001919000000001</v>
      </c>
      <c r="M96" s="43">
        <v>36.096935000000002</v>
      </c>
      <c r="N96" s="43">
        <v>36.188980000000001</v>
      </c>
      <c r="O96" s="43">
        <v>36.284984999999999</v>
      </c>
      <c r="P96" s="43">
        <v>36.381256</v>
      </c>
      <c r="Q96" s="43">
        <v>36.475665999999997</v>
      </c>
      <c r="R96" s="43">
        <v>36.507441999999998</v>
      </c>
      <c r="S96" s="43">
        <v>36.527493</v>
      </c>
      <c r="T96" s="43">
        <v>36.546101</v>
      </c>
      <c r="U96" s="43">
        <v>36.568500999999998</v>
      </c>
      <c r="V96" s="43">
        <v>36.589100000000002</v>
      </c>
      <c r="W96" s="43">
        <v>36.609692000000003</v>
      </c>
      <c r="X96" s="43">
        <v>36.633034000000002</v>
      </c>
      <c r="Y96" s="43">
        <v>36.655040999999997</v>
      </c>
      <c r="Z96" s="43">
        <v>36.675182</v>
      </c>
      <c r="AA96" s="43">
        <v>36.697353</v>
      </c>
      <c r="AB96" s="43">
        <v>36.719462999999998</v>
      </c>
      <c r="AC96" s="43">
        <v>36.740921</v>
      </c>
      <c r="AD96" s="43">
        <v>36.765106000000003</v>
      </c>
      <c r="AE96" s="43">
        <v>36.785502999999999</v>
      </c>
      <c r="AF96" s="43">
        <v>36.807330999999998</v>
      </c>
      <c r="AG96" s="43">
        <v>36.829493999999997</v>
      </c>
      <c r="AH96" s="43">
        <v>36.845866999999998</v>
      </c>
      <c r="AI96" s="35">
        <v>3.3890000000000001E-3</v>
      </c>
    </row>
    <row r="97" spans="1:35" ht="15" customHeight="1" x14ac:dyDescent="0.35">
      <c r="A97" s="29" t="s">
        <v>191</v>
      </c>
      <c r="B97" s="33" t="s">
        <v>41</v>
      </c>
      <c r="C97" s="43">
        <v>38.176178</v>
      </c>
      <c r="D97" s="43">
        <v>38.685448000000001</v>
      </c>
      <c r="E97" s="43">
        <v>39.037044999999999</v>
      </c>
      <c r="F97" s="43">
        <v>39.309916999999999</v>
      </c>
      <c r="G97" s="43">
        <v>39.562950000000001</v>
      </c>
      <c r="H97" s="43">
        <v>40.014729000000003</v>
      </c>
      <c r="I97" s="43">
        <v>40.410023000000002</v>
      </c>
      <c r="J97" s="43">
        <v>40.504742</v>
      </c>
      <c r="K97" s="43">
        <v>40.599003000000003</v>
      </c>
      <c r="L97" s="43">
        <v>40.695202000000002</v>
      </c>
      <c r="M97" s="43">
        <v>40.790877999999999</v>
      </c>
      <c r="N97" s="43">
        <v>40.883178999999998</v>
      </c>
      <c r="O97" s="43">
        <v>40.979523</v>
      </c>
      <c r="P97" s="43">
        <v>41.075809</v>
      </c>
      <c r="Q97" s="43">
        <v>41.169811000000003</v>
      </c>
      <c r="R97" s="43">
        <v>41.200629999999997</v>
      </c>
      <c r="S97" s="43">
        <v>41.219318000000001</v>
      </c>
      <c r="T97" s="43">
        <v>41.237170999999996</v>
      </c>
      <c r="U97" s="43">
        <v>41.257896000000002</v>
      </c>
      <c r="V97" s="43">
        <v>41.276741000000001</v>
      </c>
      <c r="W97" s="43">
        <v>41.295527999999997</v>
      </c>
      <c r="X97" s="43">
        <v>41.316958999999997</v>
      </c>
      <c r="Y97" s="43">
        <v>41.337242000000003</v>
      </c>
      <c r="Z97" s="43">
        <v>41.355930000000001</v>
      </c>
      <c r="AA97" s="43">
        <v>41.376545</v>
      </c>
      <c r="AB97" s="43">
        <v>41.397162999999999</v>
      </c>
      <c r="AC97" s="43">
        <v>41.417293999999998</v>
      </c>
      <c r="AD97" s="43">
        <v>41.439841999999999</v>
      </c>
      <c r="AE97" s="43">
        <v>41.458981000000001</v>
      </c>
      <c r="AF97" s="43">
        <v>41.479500000000002</v>
      </c>
      <c r="AG97" s="43">
        <v>41.500286000000003</v>
      </c>
      <c r="AH97" s="43">
        <v>41.515296999999997</v>
      </c>
      <c r="AI97" s="35">
        <v>2.709E-3</v>
      </c>
    </row>
    <row r="98" spans="1:35" ht="15" customHeight="1" x14ac:dyDescent="0.35">
      <c r="A98" s="29" t="s">
        <v>190</v>
      </c>
      <c r="B98" s="33" t="s">
        <v>39</v>
      </c>
      <c r="C98" s="43">
        <v>32.836086000000002</v>
      </c>
      <c r="D98" s="43">
        <v>33.367362999999997</v>
      </c>
      <c r="E98" s="43">
        <v>33.779975999999998</v>
      </c>
      <c r="F98" s="43">
        <v>34.122337000000002</v>
      </c>
      <c r="G98" s="43">
        <v>34.390555999999997</v>
      </c>
      <c r="H98" s="43">
        <v>34.837623999999998</v>
      </c>
      <c r="I98" s="43">
        <v>35.055610999999999</v>
      </c>
      <c r="J98" s="43">
        <v>35.145060999999998</v>
      </c>
      <c r="K98" s="43">
        <v>35.234085</v>
      </c>
      <c r="L98" s="43">
        <v>35.323844999999999</v>
      </c>
      <c r="M98" s="43">
        <v>35.413173999999998</v>
      </c>
      <c r="N98" s="43">
        <v>35.500945999999999</v>
      </c>
      <c r="O98" s="43">
        <v>35.590060999999999</v>
      </c>
      <c r="P98" s="43">
        <v>35.679034999999999</v>
      </c>
      <c r="Q98" s="43">
        <v>35.766871999999999</v>
      </c>
      <c r="R98" s="43">
        <v>35.790661</v>
      </c>
      <c r="S98" s="43">
        <v>35.802719000000003</v>
      </c>
      <c r="T98" s="43">
        <v>35.815834000000002</v>
      </c>
      <c r="U98" s="43">
        <v>35.829009999999997</v>
      </c>
      <c r="V98" s="43">
        <v>35.840935000000002</v>
      </c>
      <c r="W98" s="43">
        <v>35.852398000000001</v>
      </c>
      <c r="X98" s="43">
        <v>35.864657999999999</v>
      </c>
      <c r="Y98" s="43">
        <v>35.876362</v>
      </c>
      <c r="Z98" s="43">
        <v>35.887306000000002</v>
      </c>
      <c r="AA98" s="43">
        <v>35.898834000000001</v>
      </c>
      <c r="AB98" s="43">
        <v>35.910206000000002</v>
      </c>
      <c r="AC98" s="43">
        <v>35.921391</v>
      </c>
      <c r="AD98" s="43">
        <v>35.933253999999998</v>
      </c>
      <c r="AE98" s="43">
        <v>35.943871000000001</v>
      </c>
      <c r="AF98" s="43">
        <v>35.954948000000002</v>
      </c>
      <c r="AG98" s="43">
        <v>35.965983999999999</v>
      </c>
      <c r="AH98" s="43">
        <v>35.970913000000003</v>
      </c>
      <c r="AI98" s="35">
        <v>2.9459999999999998E-3</v>
      </c>
    </row>
    <row r="99" spans="1:35" ht="15" customHeight="1" x14ac:dyDescent="0.35">
      <c r="A99" s="29" t="s">
        <v>189</v>
      </c>
      <c r="B99" s="33" t="s">
        <v>37</v>
      </c>
      <c r="C99" s="43">
        <v>31.212605</v>
      </c>
      <c r="D99" s="43">
        <v>31.840088000000002</v>
      </c>
      <c r="E99" s="43">
        <v>32.414295000000003</v>
      </c>
      <c r="F99" s="43">
        <v>32.928432000000001</v>
      </c>
      <c r="G99" s="43">
        <v>33.416229000000001</v>
      </c>
      <c r="H99" s="43">
        <v>33.900978000000002</v>
      </c>
      <c r="I99" s="43">
        <v>34.119869000000001</v>
      </c>
      <c r="J99" s="43">
        <v>34.2104</v>
      </c>
      <c r="K99" s="43">
        <v>34.300494999999998</v>
      </c>
      <c r="L99" s="43">
        <v>34.391658999999997</v>
      </c>
      <c r="M99" s="43">
        <v>34.482464</v>
      </c>
      <c r="N99" s="43">
        <v>34.571224000000001</v>
      </c>
      <c r="O99" s="43">
        <v>34.662410999999999</v>
      </c>
      <c r="P99" s="43">
        <v>34.753627999999999</v>
      </c>
      <c r="Q99" s="43">
        <v>34.843440999999999</v>
      </c>
      <c r="R99" s="43">
        <v>34.869087</v>
      </c>
      <c r="S99" s="43">
        <v>34.88261</v>
      </c>
      <c r="T99" s="43">
        <v>34.896523000000002</v>
      </c>
      <c r="U99" s="43">
        <v>34.912052000000003</v>
      </c>
      <c r="V99" s="43">
        <v>34.926682</v>
      </c>
      <c r="W99" s="43">
        <v>34.941181</v>
      </c>
      <c r="X99" s="43">
        <v>34.957726000000001</v>
      </c>
      <c r="Y99" s="43">
        <v>34.973666999999999</v>
      </c>
      <c r="Z99" s="43">
        <v>34.988548000000002</v>
      </c>
      <c r="AA99" s="43">
        <v>35.004992999999999</v>
      </c>
      <c r="AB99" s="43">
        <v>35.021549</v>
      </c>
      <c r="AC99" s="43">
        <v>35.037647</v>
      </c>
      <c r="AD99" s="43">
        <v>35.055861999999998</v>
      </c>
      <c r="AE99" s="43">
        <v>35.071674000000002</v>
      </c>
      <c r="AF99" s="43">
        <v>35.088473999999998</v>
      </c>
      <c r="AG99" s="43">
        <v>35.105732000000003</v>
      </c>
      <c r="AH99" s="43">
        <v>35.117171999999997</v>
      </c>
      <c r="AI99" s="35">
        <v>3.8089999999999999E-3</v>
      </c>
    </row>
    <row r="100" spans="1:35" ht="15" customHeight="1" x14ac:dyDescent="0.35">
      <c r="A100" s="29" t="s">
        <v>188</v>
      </c>
      <c r="B100" s="33" t="s">
        <v>35</v>
      </c>
      <c r="C100" s="43">
        <v>35.991000999999997</v>
      </c>
      <c r="D100" s="43">
        <v>36.658000999999999</v>
      </c>
      <c r="E100" s="43">
        <v>37.247943999999997</v>
      </c>
      <c r="F100" s="43">
        <v>37.803649999999998</v>
      </c>
      <c r="G100" s="43">
        <v>38.296478</v>
      </c>
      <c r="H100" s="43">
        <v>38.821857000000001</v>
      </c>
      <c r="I100" s="43">
        <v>39.037785</v>
      </c>
      <c r="J100" s="43">
        <v>39.130085000000001</v>
      </c>
      <c r="K100" s="43">
        <v>39.222484999999999</v>
      </c>
      <c r="L100" s="43">
        <v>39.316474999999997</v>
      </c>
      <c r="M100" s="43">
        <v>39.409900999999998</v>
      </c>
      <c r="N100" s="43">
        <v>39.499873999999998</v>
      </c>
      <c r="O100" s="43">
        <v>39.592728000000001</v>
      </c>
      <c r="P100" s="43">
        <v>39.685687999999999</v>
      </c>
      <c r="Q100" s="43">
        <v>39.777042000000002</v>
      </c>
      <c r="R100" s="43">
        <v>39.805107</v>
      </c>
      <c r="S100" s="43">
        <v>39.821171</v>
      </c>
      <c r="T100" s="43">
        <v>39.837302999999999</v>
      </c>
      <c r="U100" s="43">
        <v>39.855530000000002</v>
      </c>
      <c r="V100" s="43">
        <v>39.872382999999999</v>
      </c>
      <c r="W100" s="43">
        <v>39.889113999999999</v>
      </c>
      <c r="X100" s="43">
        <v>39.908169000000001</v>
      </c>
      <c r="Y100" s="43">
        <v>39.926369000000001</v>
      </c>
      <c r="Z100" s="43">
        <v>39.943210999999998</v>
      </c>
      <c r="AA100" s="43">
        <v>39.961841999999997</v>
      </c>
      <c r="AB100" s="43">
        <v>39.980525999999998</v>
      </c>
      <c r="AC100" s="43">
        <v>39.998688000000001</v>
      </c>
      <c r="AD100" s="43">
        <v>40.019218000000002</v>
      </c>
      <c r="AE100" s="43">
        <v>40.036811999999998</v>
      </c>
      <c r="AF100" s="43">
        <v>40.055588</v>
      </c>
      <c r="AG100" s="43">
        <v>40.074787000000001</v>
      </c>
      <c r="AH100" s="43">
        <v>40.088177000000002</v>
      </c>
      <c r="AI100" s="35">
        <v>3.4840000000000001E-3</v>
      </c>
    </row>
    <row r="101" spans="1:35" ht="15" customHeight="1" x14ac:dyDescent="0.35">
      <c r="A101" s="29" t="s">
        <v>187</v>
      </c>
      <c r="B101" s="33" t="s">
        <v>33</v>
      </c>
      <c r="C101" s="43">
        <v>62.623085000000003</v>
      </c>
      <c r="D101" s="43">
        <v>63.100132000000002</v>
      </c>
      <c r="E101" s="43">
        <v>63.423679</v>
      </c>
      <c r="F101" s="43">
        <v>63.716639999999998</v>
      </c>
      <c r="G101" s="43">
        <v>63.955826000000002</v>
      </c>
      <c r="H101" s="43">
        <v>64.478438999999995</v>
      </c>
      <c r="I101" s="43">
        <v>64.947327000000001</v>
      </c>
      <c r="J101" s="43">
        <v>65.040344000000005</v>
      </c>
      <c r="K101" s="43">
        <v>65.133223999999998</v>
      </c>
      <c r="L101" s="43">
        <v>65.227783000000002</v>
      </c>
      <c r="M101" s="43">
        <v>65.321556000000001</v>
      </c>
      <c r="N101" s="43">
        <v>65.412696999999994</v>
      </c>
      <c r="O101" s="43">
        <v>65.507262999999995</v>
      </c>
      <c r="P101" s="43">
        <v>65.602553999999998</v>
      </c>
      <c r="Q101" s="43">
        <v>65.695144999999997</v>
      </c>
      <c r="R101" s="43">
        <v>65.724472000000006</v>
      </c>
      <c r="S101" s="43">
        <v>65.741386000000006</v>
      </c>
      <c r="T101" s="43">
        <v>65.758780999999999</v>
      </c>
      <c r="U101" s="43">
        <v>65.778114000000002</v>
      </c>
      <c r="V101" s="43">
        <v>65.795967000000005</v>
      </c>
      <c r="W101" s="43">
        <v>65.813927000000007</v>
      </c>
      <c r="X101" s="43">
        <v>65.834557000000004</v>
      </c>
      <c r="Y101" s="43">
        <v>65.854256000000007</v>
      </c>
      <c r="Z101" s="43">
        <v>65.872626999999994</v>
      </c>
      <c r="AA101" s="43">
        <v>65.893119999999996</v>
      </c>
      <c r="AB101" s="43">
        <v>65.913726999999994</v>
      </c>
      <c r="AC101" s="43">
        <v>65.933907000000005</v>
      </c>
      <c r="AD101" s="43">
        <v>65.956740999999994</v>
      </c>
      <c r="AE101" s="43">
        <v>65.976226999999994</v>
      </c>
      <c r="AF101" s="43">
        <v>65.997208000000001</v>
      </c>
      <c r="AG101" s="43">
        <v>66.018653999999998</v>
      </c>
      <c r="AH101" s="43">
        <v>66.034369999999996</v>
      </c>
      <c r="AI101" s="35">
        <v>1.712E-3</v>
      </c>
    </row>
    <row r="102" spans="1:35" ht="15" customHeight="1" x14ac:dyDescent="0.35">
      <c r="A102" s="29" t="s">
        <v>666</v>
      </c>
      <c r="B102" s="33" t="s">
        <v>558</v>
      </c>
      <c r="C102" s="43">
        <v>31.19838</v>
      </c>
      <c r="D102" s="43">
        <v>31.599502999999999</v>
      </c>
      <c r="E102" s="43">
        <v>31.913719</v>
      </c>
      <c r="F102" s="43">
        <v>32.340770999999997</v>
      </c>
      <c r="G102" s="43">
        <v>32.618457999999997</v>
      </c>
      <c r="H102" s="43">
        <v>33.040683999999999</v>
      </c>
      <c r="I102" s="43">
        <v>33.60033</v>
      </c>
      <c r="J102" s="43">
        <v>33.697310999999999</v>
      </c>
      <c r="K102" s="43">
        <v>33.793987000000001</v>
      </c>
      <c r="L102" s="43">
        <v>33.892792</v>
      </c>
      <c r="M102" s="43">
        <v>33.990845</v>
      </c>
      <c r="N102" s="43">
        <v>34.084193999999997</v>
      </c>
      <c r="O102" s="43">
        <v>34.182620999999997</v>
      </c>
      <c r="P102" s="43">
        <v>34.280918</v>
      </c>
      <c r="Q102" s="43">
        <v>34.376658999999997</v>
      </c>
      <c r="R102" s="43">
        <v>34.410015000000001</v>
      </c>
      <c r="S102" s="43">
        <v>34.432136999999997</v>
      </c>
      <c r="T102" s="43">
        <v>34.453823</v>
      </c>
      <c r="U102" s="43">
        <v>34.477890000000002</v>
      </c>
      <c r="V102" s="43">
        <v>34.499797999999998</v>
      </c>
      <c r="W102" s="43">
        <v>34.521541999999997</v>
      </c>
      <c r="X102" s="43">
        <v>34.546706999999998</v>
      </c>
      <c r="Y102" s="43">
        <v>34.570473</v>
      </c>
      <c r="Z102" s="43">
        <v>34.592224000000002</v>
      </c>
      <c r="AA102" s="43">
        <v>34.616439999999997</v>
      </c>
      <c r="AB102" s="43">
        <v>34.640751000000002</v>
      </c>
      <c r="AC102" s="43">
        <v>34.663978999999998</v>
      </c>
      <c r="AD102" s="43">
        <v>34.690624</v>
      </c>
      <c r="AE102" s="43">
        <v>34.712868</v>
      </c>
      <c r="AF102" s="43">
        <v>34.736598999999998</v>
      </c>
      <c r="AG102" s="43">
        <v>34.760624</v>
      </c>
      <c r="AH102" s="43">
        <v>34.779769999999999</v>
      </c>
      <c r="AI102" s="35">
        <v>3.5119999999999999E-3</v>
      </c>
    </row>
    <row r="103" spans="1:35" ht="15" customHeight="1" x14ac:dyDescent="0.35">
      <c r="A103" s="29" t="s">
        <v>667</v>
      </c>
      <c r="B103" s="33" t="s">
        <v>559</v>
      </c>
      <c r="C103" s="43">
        <v>43.345557999999997</v>
      </c>
      <c r="D103" s="43">
        <v>43.839207000000002</v>
      </c>
      <c r="E103" s="43">
        <v>44.278412000000003</v>
      </c>
      <c r="F103" s="43">
        <v>44.637839999999997</v>
      </c>
      <c r="G103" s="43">
        <v>44.916668000000001</v>
      </c>
      <c r="H103" s="43">
        <v>45.296557999999997</v>
      </c>
      <c r="I103" s="43">
        <v>45.604168000000001</v>
      </c>
      <c r="J103" s="43">
        <v>45.768833000000001</v>
      </c>
      <c r="K103" s="43">
        <v>45.86591</v>
      </c>
      <c r="L103" s="43">
        <v>45.965232999999998</v>
      </c>
      <c r="M103" s="43">
        <v>46.063777999999999</v>
      </c>
      <c r="N103" s="43">
        <v>46.158092000000003</v>
      </c>
      <c r="O103" s="43">
        <v>46.257370000000002</v>
      </c>
      <c r="P103" s="43">
        <v>46.356490999999998</v>
      </c>
      <c r="Q103" s="43">
        <v>46.452472999999998</v>
      </c>
      <c r="R103" s="43">
        <v>46.485377999999997</v>
      </c>
      <c r="S103" s="43">
        <v>46.506808999999997</v>
      </c>
      <c r="T103" s="43">
        <v>46.527290000000001</v>
      </c>
      <c r="U103" s="43">
        <v>46.550483999999997</v>
      </c>
      <c r="V103" s="43">
        <v>46.571410999999998</v>
      </c>
      <c r="W103" s="43">
        <v>46.592224000000002</v>
      </c>
      <c r="X103" s="43">
        <v>46.615794999999999</v>
      </c>
      <c r="Y103" s="43">
        <v>46.637855999999999</v>
      </c>
      <c r="Z103" s="43">
        <v>46.657905999999997</v>
      </c>
      <c r="AA103" s="43">
        <v>46.68</v>
      </c>
      <c r="AB103" s="43">
        <v>46.701934999999999</v>
      </c>
      <c r="AC103" s="43">
        <v>46.723072000000002</v>
      </c>
      <c r="AD103" s="43">
        <v>46.746822000000002</v>
      </c>
      <c r="AE103" s="43">
        <v>46.766810999999997</v>
      </c>
      <c r="AF103" s="43">
        <v>46.788066999999998</v>
      </c>
      <c r="AG103" s="43">
        <v>46.809589000000003</v>
      </c>
      <c r="AH103" s="43">
        <v>46.825175999999999</v>
      </c>
      <c r="AI103" s="35">
        <v>2.4940000000000001E-3</v>
      </c>
    </row>
    <row r="104" spans="1:35" ht="15" customHeight="1" x14ac:dyDescent="0.35">
      <c r="A104" s="25"/>
      <c r="B104" s="32" t="s">
        <v>186</v>
      </c>
      <c r="C104" s="25"/>
      <c r="D104" s="25"/>
      <c r="E104" s="25"/>
      <c r="F104" s="25"/>
      <c r="G104" s="25"/>
      <c r="H104" s="25"/>
      <c r="I104" s="25"/>
      <c r="J104" s="25"/>
      <c r="K104" s="25"/>
      <c r="L104" s="25"/>
      <c r="M104" s="25"/>
      <c r="N104" s="25"/>
      <c r="O104" s="25"/>
      <c r="P104" s="25"/>
      <c r="Q104" s="25"/>
      <c r="R104" s="25"/>
      <c r="S104" s="25"/>
      <c r="T104" s="25"/>
      <c r="U104" s="25"/>
      <c r="V104" s="25"/>
      <c r="W104" s="25"/>
      <c r="X104" s="25"/>
      <c r="Y104" s="25"/>
      <c r="Z104" s="25"/>
      <c r="AA104" s="25"/>
      <c r="AB104" s="25"/>
      <c r="AC104" s="25"/>
      <c r="AD104" s="25"/>
      <c r="AE104" s="25"/>
      <c r="AF104" s="25"/>
      <c r="AG104" s="25"/>
      <c r="AH104" s="25"/>
      <c r="AI104" s="25"/>
    </row>
    <row r="105" spans="1:35" ht="15" customHeight="1" x14ac:dyDescent="0.35">
      <c r="A105" s="29" t="s">
        <v>185</v>
      </c>
      <c r="B105" s="33" t="s">
        <v>55</v>
      </c>
      <c r="C105" s="43">
        <v>0</v>
      </c>
      <c r="D105" s="43">
        <v>0</v>
      </c>
      <c r="E105" s="43">
        <v>0</v>
      </c>
      <c r="F105" s="43">
        <v>0</v>
      </c>
      <c r="G105" s="43">
        <v>0</v>
      </c>
      <c r="H105" s="43">
        <v>0</v>
      </c>
      <c r="I105" s="43">
        <v>0</v>
      </c>
      <c r="J105" s="43">
        <v>0</v>
      </c>
      <c r="K105" s="43">
        <v>0</v>
      </c>
      <c r="L105" s="43">
        <v>0</v>
      </c>
      <c r="M105" s="43">
        <v>0</v>
      </c>
      <c r="N105" s="43">
        <v>0</v>
      </c>
      <c r="O105" s="43">
        <v>0</v>
      </c>
      <c r="P105" s="43">
        <v>0</v>
      </c>
      <c r="Q105" s="43">
        <v>0</v>
      </c>
      <c r="R105" s="43">
        <v>0</v>
      </c>
      <c r="S105" s="43">
        <v>0</v>
      </c>
      <c r="T105" s="43">
        <v>0</v>
      </c>
      <c r="U105" s="43">
        <v>0</v>
      </c>
      <c r="V105" s="43">
        <v>0</v>
      </c>
      <c r="W105" s="43">
        <v>0</v>
      </c>
      <c r="X105" s="43">
        <v>0</v>
      </c>
      <c r="Y105" s="43">
        <v>0</v>
      </c>
      <c r="Z105" s="43">
        <v>0</v>
      </c>
      <c r="AA105" s="43">
        <v>0</v>
      </c>
      <c r="AB105" s="43">
        <v>0</v>
      </c>
      <c r="AC105" s="43">
        <v>0</v>
      </c>
      <c r="AD105" s="43">
        <v>0</v>
      </c>
      <c r="AE105" s="43">
        <v>0</v>
      </c>
      <c r="AF105" s="43">
        <v>0</v>
      </c>
      <c r="AG105" s="43">
        <v>0</v>
      </c>
      <c r="AH105" s="43">
        <v>0</v>
      </c>
      <c r="AI105" s="35" t="s">
        <v>12</v>
      </c>
    </row>
    <row r="106" spans="1:35" ht="15" customHeight="1" x14ac:dyDescent="0.35">
      <c r="A106" s="29" t="s">
        <v>184</v>
      </c>
      <c r="B106" s="33" t="s">
        <v>53</v>
      </c>
      <c r="C106" s="43">
        <v>0</v>
      </c>
      <c r="D106" s="43">
        <v>0</v>
      </c>
      <c r="E106" s="43">
        <v>0</v>
      </c>
      <c r="F106" s="43">
        <v>0</v>
      </c>
      <c r="G106" s="43">
        <v>0</v>
      </c>
      <c r="H106" s="43">
        <v>0</v>
      </c>
      <c r="I106" s="43">
        <v>0</v>
      </c>
      <c r="J106" s="43">
        <v>0</v>
      </c>
      <c r="K106" s="43">
        <v>0</v>
      </c>
      <c r="L106" s="43">
        <v>0</v>
      </c>
      <c r="M106" s="43">
        <v>0</v>
      </c>
      <c r="N106" s="43">
        <v>0</v>
      </c>
      <c r="O106" s="43">
        <v>0</v>
      </c>
      <c r="P106" s="43">
        <v>0</v>
      </c>
      <c r="Q106" s="43">
        <v>0</v>
      </c>
      <c r="R106" s="43">
        <v>0</v>
      </c>
      <c r="S106" s="43">
        <v>0</v>
      </c>
      <c r="T106" s="43">
        <v>0</v>
      </c>
      <c r="U106" s="43">
        <v>0</v>
      </c>
      <c r="V106" s="43">
        <v>0</v>
      </c>
      <c r="W106" s="43">
        <v>0</v>
      </c>
      <c r="X106" s="43">
        <v>0</v>
      </c>
      <c r="Y106" s="43">
        <v>0</v>
      </c>
      <c r="Z106" s="43">
        <v>0</v>
      </c>
      <c r="AA106" s="43">
        <v>0</v>
      </c>
      <c r="AB106" s="43">
        <v>0</v>
      </c>
      <c r="AC106" s="43">
        <v>0</v>
      </c>
      <c r="AD106" s="43">
        <v>0</v>
      </c>
      <c r="AE106" s="43">
        <v>0</v>
      </c>
      <c r="AF106" s="43">
        <v>0</v>
      </c>
      <c r="AG106" s="43">
        <v>0</v>
      </c>
      <c r="AH106" s="43">
        <v>0</v>
      </c>
      <c r="AI106" s="35" t="s">
        <v>12</v>
      </c>
    </row>
    <row r="107" spans="1:35" ht="15" customHeight="1" x14ac:dyDescent="0.35">
      <c r="A107" s="29" t="s">
        <v>183</v>
      </c>
      <c r="B107" s="33" t="s">
        <v>51</v>
      </c>
      <c r="C107" s="43">
        <v>38.467689999999997</v>
      </c>
      <c r="D107" s="43">
        <v>38.906601000000002</v>
      </c>
      <c r="E107" s="43">
        <v>39.272132999999997</v>
      </c>
      <c r="F107" s="43">
        <v>39.679805999999999</v>
      </c>
      <c r="G107" s="43">
        <v>40.092278</v>
      </c>
      <c r="H107" s="43">
        <v>40.276825000000002</v>
      </c>
      <c r="I107" s="43">
        <v>40.768363999999998</v>
      </c>
      <c r="J107" s="43">
        <v>40.882339000000002</v>
      </c>
      <c r="K107" s="43">
        <v>40.983978</v>
      </c>
      <c r="L107" s="43">
        <v>41.090218</v>
      </c>
      <c r="M107" s="43">
        <v>41.194695000000003</v>
      </c>
      <c r="N107" s="43">
        <v>41.293163</v>
      </c>
      <c r="O107" s="43">
        <v>41.398986999999998</v>
      </c>
      <c r="P107" s="43">
        <v>41.504638999999997</v>
      </c>
      <c r="Q107" s="43">
        <v>41.606247000000003</v>
      </c>
      <c r="R107" s="43">
        <v>41.645096000000002</v>
      </c>
      <c r="S107" s="43">
        <v>41.672794000000003</v>
      </c>
      <c r="T107" s="43">
        <v>41.699184000000002</v>
      </c>
      <c r="U107" s="43">
        <v>41.728538999999998</v>
      </c>
      <c r="V107" s="43">
        <v>41.754939999999998</v>
      </c>
      <c r="W107" s="43">
        <v>41.780880000000003</v>
      </c>
      <c r="X107" s="43">
        <v>41.810879</v>
      </c>
      <c r="Y107" s="43">
        <v>41.838810000000002</v>
      </c>
      <c r="Z107" s="43">
        <v>41.8643</v>
      </c>
      <c r="AA107" s="43">
        <v>41.892899</v>
      </c>
      <c r="AB107" s="43">
        <v>41.921413000000001</v>
      </c>
      <c r="AC107" s="43">
        <v>41.948635000000003</v>
      </c>
      <c r="AD107" s="43">
        <v>41.979869999999998</v>
      </c>
      <c r="AE107" s="43">
        <v>42.005783000000001</v>
      </c>
      <c r="AF107" s="43">
        <v>42.033374999999999</v>
      </c>
      <c r="AG107" s="43">
        <v>42.061546</v>
      </c>
      <c r="AH107" s="43">
        <v>42.083893000000003</v>
      </c>
      <c r="AI107" s="35">
        <v>2.9030000000000002E-3</v>
      </c>
    </row>
    <row r="108" spans="1:35" ht="15" customHeight="1" x14ac:dyDescent="0.35">
      <c r="A108" s="29" t="s">
        <v>182</v>
      </c>
      <c r="B108" s="33" t="s">
        <v>49</v>
      </c>
      <c r="C108" s="43">
        <v>0</v>
      </c>
      <c r="D108" s="43">
        <v>0</v>
      </c>
      <c r="E108" s="43">
        <v>0</v>
      </c>
      <c r="F108" s="43">
        <v>0</v>
      </c>
      <c r="G108" s="43">
        <v>0</v>
      </c>
      <c r="H108" s="43">
        <v>0</v>
      </c>
      <c r="I108" s="43">
        <v>0</v>
      </c>
      <c r="J108" s="43">
        <v>0</v>
      </c>
      <c r="K108" s="43">
        <v>0</v>
      </c>
      <c r="L108" s="43">
        <v>0</v>
      </c>
      <c r="M108" s="43">
        <v>0</v>
      </c>
      <c r="N108" s="43">
        <v>0</v>
      </c>
      <c r="O108" s="43">
        <v>0</v>
      </c>
      <c r="P108" s="43">
        <v>0</v>
      </c>
      <c r="Q108" s="43">
        <v>0</v>
      </c>
      <c r="R108" s="43">
        <v>0</v>
      </c>
      <c r="S108" s="43">
        <v>0</v>
      </c>
      <c r="T108" s="43">
        <v>0</v>
      </c>
      <c r="U108" s="43">
        <v>0</v>
      </c>
      <c r="V108" s="43">
        <v>0</v>
      </c>
      <c r="W108" s="43">
        <v>0</v>
      </c>
      <c r="X108" s="43">
        <v>0</v>
      </c>
      <c r="Y108" s="43">
        <v>0</v>
      </c>
      <c r="Z108" s="43">
        <v>0</v>
      </c>
      <c r="AA108" s="43">
        <v>0</v>
      </c>
      <c r="AB108" s="43">
        <v>0</v>
      </c>
      <c r="AC108" s="43">
        <v>0</v>
      </c>
      <c r="AD108" s="43">
        <v>0</v>
      </c>
      <c r="AE108" s="43">
        <v>0</v>
      </c>
      <c r="AF108" s="43">
        <v>0</v>
      </c>
      <c r="AG108" s="43">
        <v>0</v>
      </c>
      <c r="AH108" s="43">
        <v>0</v>
      </c>
      <c r="AI108" s="35" t="s">
        <v>12</v>
      </c>
    </row>
    <row r="109" spans="1:35" ht="15" customHeight="1" x14ac:dyDescent="0.35">
      <c r="A109" s="29" t="s">
        <v>181</v>
      </c>
      <c r="B109" s="33" t="s">
        <v>47</v>
      </c>
      <c r="C109" s="43">
        <v>43.566386999999999</v>
      </c>
      <c r="D109" s="43">
        <v>44.019150000000003</v>
      </c>
      <c r="E109" s="43">
        <v>44.387763999999997</v>
      </c>
      <c r="F109" s="43">
        <v>44.733955000000002</v>
      </c>
      <c r="G109" s="43">
        <v>45.005070000000003</v>
      </c>
      <c r="H109" s="43">
        <v>45.205795000000002</v>
      </c>
      <c r="I109" s="43">
        <v>45.758372999999999</v>
      </c>
      <c r="J109" s="43">
        <v>45.872943999999997</v>
      </c>
      <c r="K109" s="43">
        <v>45.973083000000003</v>
      </c>
      <c r="L109" s="43">
        <v>46.076248</v>
      </c>
      <c r="M109" s="43">
        <v>46.178576999999997</v>
      </c>
      <c r="N109" s="43">
        <v>46.275509</v>
      </c>
      <c r="O109" s="43">
        <v>46.378487</v>
      </c>
      <c r="P109" s="43">
        <v>46.481921999999997</v>
      </c>
      <c r="Q109" s="43">
        <v>46.581435999999997</v>
      </c>
      <c r="R109" s="43">
        <v>46.616954999999997</v>
      </c>
      <c r="S109" s="43">
        <v>46.642344999999999</v>
      </c>
      <c r="T109" s="43">
        <v>46.667060999999997</v>
      </c>
      <c r="U109" s="43">
        <v>46.693665000000003</v>
      </c>
      <c r="V109" s="43">
        <v>46.717415000000003</v>
      </c>
      <c r="W109" s="43">
        <v>46.740582000000003</v>
      </c>
      <c r="X109" s="43">
        <v>46.766888000000002</v>
      </c>
      <c r="Y109" s="43">
        <v>46.791397000000003</v>
      </c>
      <c r="Z109" s="43">
        <v>46.813583000000001</v>
      </c>
      <c r="AA109" s="43">
        <v>46.838088999999997</v>
      </c>
      <c r="AB109" s="43">
        <v>46.862380999999999</v>
      </c>
      <c r="AC109" s="43">
        <v>46.885635000000001</v>
      </c>
      <c r="AD109" s="43">
        <v>46.911892000000002</v>
      </c>
      <c r="AE109" s="43">
        <v>46.933799999999998</v>
      </c>
      <c r="AF109" s="43">
        <v>46.957096</v>
      </c>
      <c r="AG109" s="43">
        <v>46.980530000000002</v>
      </c>
      <c r="AH109" s="43">
        <v>46.997909999999997</v>
      </c>
      <c r="AI109" s="35">
        <v>2.4489999999999998E-3</v>
      </c>
    </row>
    <row r="110" spans="1:35" ht="15" customHeight="1" x14ac:dyDescent="0.35">
      <c r="A110" s="29" t="s">
        <v>180</v>
      </c>
      <c r="B110" s="33" t="s">
        <v>45</v>
      </c>
      <c r="C110" s="43">
        <v>0</v>
      </c>
      <c r="D110" s="43">
        <v>0</v>
      </c>
      <c r="E110" s="43">
        <v>0</v>
      </c>
      <c r="F110" s="43">
        <v>0</v>
      </c>
      <c r="G110" s="43">
        <v>0</v>
      </c>
      <c r="H110" s="43">
        <v>0</v>
      </c>
      <c r="I110" s="43">
        <v>0</v>
      </c>
      <c r="J110" s="43">
        <v>0</v>
      </c>
      <c r="K110" s="43">
        <v>0</v>
      </c>
      <c r="L110" s="43">
        <v>0</v>
      </c>
      <c r="M110" s="43">
        <v>0</v>
      </c>
      <c r="N110" s="43">
        <v>0</v>
      </c>
      <c r="O110" s="43">
        <v>0</v>
      </c>
      <c r="P110" s="43">
        <v>0</v>
      </c>
      <c r="Q110" s="43">
        <v>0</v>
      </c>
      <c r="R110" s="43">
        <v>0</v>
      </c>
      <c r="S110" s="43">
        <v>0</v>
      </c>
      <c r="T110" s="43">
        <v>0</v>
      </c>
      <c r="U110" s="43">
        <v>0</v>
      </c>
      <c r="V110" s="43">
        <v>0</v>
      </c>
      <c r="W110" s="43">
        <v>0</v>
      </c>
      <c r="X110" s="43">
        <v>0</v>
      </c>
      <c r="Y110" s="43">
        <v>0</v>
      </c>
      <c r="Z110" s="43">
        <v>0</v>
      </c>
      <c r="AA110" s="43">
        <v>0</v>
      </c>
      <c r="AB110" s="43">
        <v>0</v>
      </c>
      <c r="AC110" s="43">
        <v>0</v>
      </c>
      <c r="AD110" s="43">
        <v>0</v>
      </c>
      <c r="AE110" s="43">
        <v>0</v>
      </c>
      <c r="AF110" s="43">
        <v>0</v>
      </c>
      <c r="AG110" s="43">
        <v>0</v>
      </c>
      <c r="AH110" s="43">
        <v>0</v>
      </c>
      <c r="AI110" s="35" t="s">
        <v>12</v>
      </c>
    </row>
    <row r="111" spans="1:35" ht="15" customHeight="1" x14ac:dyDescent="0.35">
      <c r="A111" s="29" t="s">
        <v>668</v>
      </c>
      <c r="B111" s="33" t="s">
        <v>556</v>
      </c>
      <c r="C111" s="43">
        <v>0</v>
      </c>
      <c r="D111" s="43">
        <v>0</v>
      </c>
      <c r="E111" s="43">
        <v>0</v>
      </c>
      <c r="F111" s="43">
        <v>0</v>
      </c>
      <c r="G111" s="43">
        <v>0</v>
      </c>
      <c r="H111" s="43">
        <v>0</v>
      </c>
      <c r="I111" s="43">
        <v>0</v>
      </c>
      <c r="J111" s="43">
        <v>0</v>
      </c>
      <c r="K111" s="43">
        <v>0</v>
      </c>
      <c r="L111" s="43">
        <v>0</v>
      </c>
      <c r="M111" s="43">
        <v>0</v>
      </c>
      <c r="N111" s="43">
        <v>0</v>
      </c>
      <c r="O111" s="43">
        <v>0</v>
      </c>
      <c r="P111" s="43">
        <v>0</v>
      </c>
      <c r="Q111" s="43">
        <v>0</v>
      </c>
      <c r="R111" s="43">
        <v>0</v>
      </c>
      <c r="S111" s="43">
        <v>0</v>
      </c>
      <c r="T111" s="43">
        <v>0</v>
      </c>
      <c r="U111" s="43">
        <v>0</v>
      </c>
      <c r="V111" s="43">
        <v>0</v>
      </c>
      <c r="W111" s="43">
        <v>0</v>
      </c>
      <c r="X111" s="43">
        <v>0</v>
      </c>
      <c r="Y111" s="43">
        <v>0</v>
      </c>
      <c r="Z111" s="43">
        <v>0</v>
      </c>
      <c r="AA111" s="43">
        <v>0</v>
      </c>
      <c r="AB111" s="43">
        <v>0</v>
      </c>
      <c r="AC111" s="43">
        <v>0</v>
      </c>
      <c r="AD111" s="43">
        <v>0</v>
      </c>
      <c r="AE111" s="43">
        <v>0</v>
      </c>
      <c r="AF111" s="43">
        <v>0</v>
      </c>
      <c r="AG111" s="43">
        <v>0</v>
      </c>
      <c r="AH111" s="43">
        <v>0</v>
      </c>
      <c r="AI111" s="35" t="s">
        <v>12</v>
      </c>
    </row>
    <row r="112" spans="1:35" ht="15" customHeight="1" x14ac:dyDescent="0.35">
      <c r="A112" s="29" t="s">
        <v>669</v>
      </c>
      <c r="B112" s="33" t="s">
        <v>557</v>
      </c>
      <c r="C112" s="43">
        <v>0</v>
      </c>
      <c r="D112" s="43">
        <v>0</v>
      </c>
      <c r="E112" s="43">
        <v>0</v>
      </c>
      <c r="F112" s="43">
        <v>0</v>
      </c>
      <c r="G112" s="43">
        <v>0</v>
      </c>
      <c r="H112" s="43">
        <v>0</v>
      </c>
      <c r="I112" s="43">
        <v>0</v>
      </c>
      <c r="J112" s="43">
        <v>0</v>
      </c>
      <c r="K112" s="43">
        <v>0</v>
      </c>
      <c r="L112" s="43">
        <v>0</v>
      </c>
      <c r="M112" s="43">
        <v>0</v>
      </c>
      <c r="N112" s="43">
        <v>0</v>
      </c>
      <c r="O112" s="43">
        <v>0</v>
      </c>
      <c r="P112" s="43">
        <v>0</v>
      </c>
      <c r="Q112" s="43">
        <v>0</v>
      </c>
      <c r="R112" s="43">
        <v>0</v>
      </c>
      <c r="S112" s="43">
        <v>0</v>
      </c>
      <c r="T112" s="43">
        <v>0</v>
      </c>
      <c r="U112" s="43">
        <v>0</v>
      </c>
      <c r="V112" s="43">
        <v>0</v>
      </c>
      <c r="W112" s="43">
        <v>0</v>
      </c>
      <c r="X112" s="43">
        <v>0</v>
      </c>
      <c r="Y112" s="43">
        <v>0</v>
      </c>
      <c r="Z112" s="43">
        <v>0</v>
      </c>
      <c r="AA112" s="43">
        <v>0</v>
      </c>
      <c r="AB112" s="43">
        <v>0</v>
      </c>
      <c r="AC112" s="43">
        <v>0</v>
      </c>
      <c r="AD112" s="43">
        <v>0</v>
      </c>
      <c r="AE112" s="43">
        <v>0</v>
      </c>
      <c r="AF112" s="43">
        <v>0</v>
      </c>
      <c r="AG112" s="43">
        <v>0</v>
      </c>
      <c r="AH112" s="43">
        <v>0</v>
      </c>
      <c r="AI112" s="35" t="s">
        <v>12</v>
      </c>
    </row>
    <row r="113" spans="1:35" ht="15" customHeight="1" x14ac:dyDescent="0.35">
      <c r="A113" s="29" t="s">
        <v>179</v>
      </c>
      <c r="B113" s="33" t="s">
        <v>43</v>
      </c>
      <c r="C113" s="43">
        <v>0</v>
      </c>
      <c r="D113" s="43">
        <v>0</v>
      </c>
      <c r="E113" s="43">
        <v>0</v>
      </c>
      <c r="F113" s="43">
        <v>0</v>
      </c>
      <c r="G113" s="43">
        <v>0</v>
      </c>
      <c r="H113" s="43">
        <v>0</v>
      </c>
      <c r="I113" s="43">
        <v>0</v>
      </c>
      <c r="J113" s="43">
        <v>0</v>
      </c>
      <c r="K113" s="43">
        <v>0</v>
      </c>
      <c r="L113" s="43">
        <v>0</v>
      </c>
      <c r="M113" s="43">
        <v>0</v>
      </c>
      <c r="N113" s="43">
        <v>0</v>
      </c>
      <c r="O113" s="43">
        <v>0</v>
      </c>
      <c r="P113" s="43">
        <v>0</v>
      </c>
      <c r="Q113" s="43">
        <v>0</v>
      </c>
      <c r="R113" s="43">
        <v>0</v>
      </c>
      <c r="S113" s="43">
        <v>0</v>
      </c>
      <c r="T113" s="43">
        <v>0</v>
      </c>
      <c r="U113" s="43">
        <v>0</v>
      </c>
      <c r="V113" s="43">
        <v>0</v>
      </c>
      <c r="W113" s="43">
        <v>0</v>
      </c>
      <c r="X113" s="43">
        <v>0</v>
      </c>
      <c r="Y113" s="43">
        <v>0</v>
      </c>
      <c r="Z113" s="43">
        <v>0</v>
      </c>
      <c r="AA113" s="43">
        <v>0</v>
      </c>
      <c r="AB113" s="43">
        <v>0</v>
      </c>
      <c r="AC113" s="43">
        <v>0</v>
      </c>
      <c r="AD113" s="43">
        <v>0</v>
      </c>
      <c r="AE113" s="43">
        <v>0</v>
      </c>
      <c r="AF113" s="43">
        <v>0</v>
      </c>
      <c r="AG113" s="43">
        <v>0</v>
      </c>
      <c r="AH113" s="43">
        <v>0</v>
      </c>
      <c r="AI113" s="35" t="s">
        <v>12</v>
      </c>
    </row>
    <row r="114" spans="1:35" ht="15" customHeight="1" x14ac:dyDescent="0.35">
      <c r="A114" s="29" t="s">
        <v>178</v>
      </c>
      <c r="B114" s="33" t="s">
        <v>41</v>
      </c>
      <c r="C114" s="43">
        <v>47.486365999999997</v>
      </c>
      <c r="D114" s="43">
        <v>47.983955000000002</v>
      </c>
      <c r="E114" s="43">
        <v>48.327804999999998</v>
      </c>
      <c r="F114" s="43">
        <v>48.578850000000003</v>
      </c>
      <c r="G114" s="43">
        <v>48.824824999999997</v>
      </c>
      <c r="H114" s="43">
        <v>49.276943000000003</v>
      </c>
      <c r="I114" s="43">
        <v>49.767670000000003</v>
      </c>
      <c r="J114" s="43">
        <v>49.861111000000001</v>
      </c>
      <c r="K114" s="43">
        <v>49.954014000000001</v>
      </c>
      <c r="L114" s="43">
        <v>50.048340000000003</v>
      </c>
      <c r="M114" s="43">
        <v>50.142139</v>
      </c>
      <c r="N114" s="43">
        <v>50.233123999999997</v>
      </c>
      <c r="O114" s="43">
        <v>50.327266999999999</v>
      </c>
      <c r="P114" s="43">
        <v>50.421256999999997</v>
      </c>
      <c r="Q114" s="43">
        <v>50.513534999999997</v>
      </c>
      <c r="R114" s="43">
        <v>50.541798</v>
      </c>
      <c r="S114" s="43">
        <v>50.558135999999998</v>
      </c>
      <c r="T114" s="43">
        <v>50.573264999999999</v>
      </c>
      <c r="U114" s="43">
        <v>50.590057000000002</v>
      </c>
      <c r="V114" s="43">
        <v>50.606074999999997</v>
      </c>
      <c r="W114" s="43">
        <v>50.622222999999998</v>
      </c>
      <c r="X114" s="43">
        <v>50.640312000000002</v>
      </c>
      <c r="Y114" s="43">
        <v>50.662979</v>
      </c>
      <c r="Z114" s="43">
        <v>50.708748</v>
      </c>
      <c r="AA114" s="43">
        <v>50.755253000000003</v>
      </c>
      <c r="AB114" s="43">
        <v>50.801673999999998</v>
      </c>
      <c r="AC114" s="43">
        <v>50.847839</v>
      </c>
      <c r="AD114" s="43">
        <v>50.894962</v>
      </c>
      <c r="AE114" s="43">
        <v>50.940536000000002</v>
      </c>
      <c r="AF114" s="43">
        <v>50.986682999999999</v>
      </c>
      <c r="AG114" s="43">
        <v>51.032856000000002</v>
      </c>
      <c r="AH114" s="43">
        <v>51.072947999999997</v>
      </c>
      <c r="AI114" s="35">
        <v>2.3519999999999999E-3</v>
      </c>
    </row>
    <row r="115" spans="1:35" ht="15" customHeight="1" x14ac:dyDescent="0.35">
      <c r="A115" s="29" t="s">
        <v>177</v>
      </c>
      <c r="B115" s="33" t="s">
        <v>39</v>
      </c>
      <c r="C115" s="43">
        <v>0</v>
      </c>
      <c r="D115" s="43">
        <v>0</v>
      </c>
      <c r="E115" s="43">
        <v>0</v>
      </c>
      <c r="F115" s="43">
        <v>0</v>
      </c>
      <c r="G115" s="43">
        <v>0</v>
      </c>
      <c r="H115" s="43">
        <v>0</v>
      </c>
      <c r="I115" s="43">
        <v>0</v>
      </c>
      <c r="J115" s="43">
        <v>0</v>
      </c>
      <c r="K115" s="43">
        <v>0</v>
      </c>
      <c r="L115" s="43">
        <v>0</v>
      </c>
      <c r="M115" s="43">
        <v>0</v>
      </c>
      <c r="N115" s="43">
        <v>0</v>
      </c>
      <c r="O115" s="43">
        <v>0</v>
      </c>
      <c r="P115" s="43">
        <v>0</v>
      </c>
      <c r="Q115" s="43">
        <v>0</v>
      </c>
      <c r="R115" s="43">
        <v>0</v>
      </c>
      <c r="S115" s="43">
        <v>0</v>
      </c>
      <c r="T115" s="43">
        <v>0</v>
      </c>
      <c r="U115" s="43">
        <v>0</v>
      </c>
      <c r="V115" s="43">
        <v>0</v>
      </c>
      <c r="W115" s="43">
        <v>0</v>
      </c>
      <c r="X115" s="43">
        <v>0</v>
      </c>
      <c r="Y115" s="43">
        <v>0</v>
      </c>
      <c r="Z115" s="43">
        <v>0</v>
      </c>
      <c r="AA115" s="43">
        <v>0</v>
      </c>
      <c r="AB115" s="43">
        <v>0</v>
      </c>
      <c r="AC115" s="43">
        <v>0</v>
      </c>
      <c r="AD115" s="43">
        <v>0</v>
      </c>
      <c r="AE115" s="43">
        <v>0</v>
      </c>
      <c r="AF115" s="43">
        <v>0</v>
      </c>
      <c r="AG115" s="43">
        <v>0</v>
      </c>
      <c r="AH115" s="43">
        <v>0</v>
      </c>
      <c r="AI115" s="35" t="s">
        <v>12</v>
      </c>
    </row>
    <row r="116" spans="1:35" ht="15" customHeight="1" x14ac:dyDescent="0.35">
      <c r="A116" s="29" t="s">
        <v>176</v>
      </c>
      <c r="B116" s="33" t="s">
        <v>37</v>
      </c>
      <c r="C116" s="43">
        <v>40.517257999999998</v>
      </c>
      <c r="D116" s="43">
        <v>41.119370000000004</v>
      </c>
      <c r="E116" s="43">
        <v>41.702564000000002</v>
      </c>
      <c r="F116" s="43">
        <v>42.200470000000003</v>
      </c>
      <c r="G116" s="43">
        <v>42.674992000000003</v>
      </c>
      <c r="H116" s="43">
        <v>43.184372000000003</v>
      </c>
      <c r="I116" s="43">
        <v>43.487774000000002</v>
      </c>
      <c r="J116" s="43">
        <v>43.576458000000002</v>
      </c>
      <c r="K116" s="43">
        <v>43.664642000000001</v>
      </c>
      <c r="L116" s="43">
        <v>43.753258000000002</v>
      </c>
      <c r="M116" s="43">
        <v>43.841534000000003</v>
      </c>
      <c r="N116" s="43">
        <v>43.928406000000003</v>
      </c>
      <c r="O116" s="43">
        <v>44.016418000000002</v>
      </c>
      <c r="P116" s="43">
        <v>44.104351000000001</v>
      </c>
      <c r="Q116" s="43">
        <v>44.191417999999999</v>
      </c>
      <c r="R116" s="43">
        <v>44.214424000000001</v>
      </c>
      <c r="S116" s="43">
        <v>44.224632</v>
      </c>
      <c r="T116" s="43">
        <v>44.234375</v>
      </c>
      <c r="U116" s="43">
        <v>44.245274000000002</v>
      </c>
      <c r="V116" s="43">
        <v>44.255924</v>
      </c>
      <c r="W116" s="43">
        <v>44.266421999999999</v>
      </c>
      <c r="X116" s="43">
        <v>44.277991999999998</v>
      </c>
      <c r="Y116" s="43">
        <v>44.289242000000002</v>
      </c>
      <c r="Z116" s="43">
        <v>44.299911000000002</v>
      </c>
      <c r="AA116" s="43">
        <v>44.311343999999998</v>
      </c>
      <c r="AB116" s="43">
        <v>44.322780999999999</v>
      </c>
      <c r="AC116" s="43">
        <v>44.333869999999997</v>
      </c>
      <c r="AD116" s="43">
        <v>44.346103999999997</v>
      </c>
      <c r="AE116" s="43">
        <v>44.357117000000002</v>
      </c>
      <c r="AF116" s="43">
        <v>44.368568000000003</v>
      </c>
      <c r="AG116" s="43">
        <v>44.380263999999997</v>
      </c>
      <c r="AH116" s="43">
        <v>44.385910000000003</v>
      </c>
      <c r="AI116" s="35">
        <v>2.9459999999999998E-3</v>
      </c>
    </row>
    <row r="117" spans="1:35" ht="15" customHeight="1" x14ac:dyDescent="0.35">
      <c r="A117" s="29" t="s">
        <v>175</v>
      </c>
      <c r="B117" s="33" t="s">
        <v>35</v>
      </c>
      <c r="C117" s="43">
        <v>0</v>
      </c>
      <c r="D117" s="43">
        <v>0</v>
      </c>
      <c r="E117" s="43">
        <v>0</v>
      </c>
      <c r="F117" s="43">
        <v>0</v>
      </c>
      <c r="G117" s="43">
        <v>0</v>
      </c>
      <c r="H117" s="43">
        <v>0</v>
      </c>
      <c r="I117" s="43">
        <v>0</v>
      </c>
      <c r="J117" s="43">
        <v>0</v>
      </c>
      <c r="K117" s="43">
        <v>0</v>
      </c>
      <c r="L117" s="43">
        <v>0</v>
      </c>
      <c r="M117" s="43">
        <v>0</v>
      </c>
      <c r="N117" s="43">
        <v>0</v>
      </c>
      <c r="O117" s="43">
        <v>0</v>
      </c>
      <c r="P117" s="43">
        <v>0</v>
      </c>
      <c r="Q117" s="43">
        <v>0</v>
      </c>
      <c r="R117" s="43">
        <v>0</v>
      </c>
      <c r="S117" s="43">
        <v>0</v>
      </c>
      <c r="T117" s="43">
        <v>0</v>
      </c>
      <c r="U117" s="43">
        <v>0</v>
      </c>
      <c r="V117" s="43">
        <v>0</v>
      </c>
      <c r="W117" s="43">
        <v>0</v>
      </c>
      <c r="X117" s="43">
        <v>0</v>
      </c>
      <c r="Y117" s="43">
        <v>0</v>
      </c>
      <c r="Z117" s="43">
        <v>0</v>
      </c>
      <c r="AA117" s="43">
        <v>0</v>
      </c>
      <c r="AB117" s="43">
        <v>0</v>
      </c>
      <c r="AC117" s="43">
        <v>0</v>
      </c>
      <c r="AD117" s="43">
        <v>0</v>
      </c>
      <c r="AE117" s="43">
        <v>0</v>
      </c>
      <c r="AF117" s="43">
        <v>0</v>
      </c>
      <c r="AG117" s="43">
        <v>0</v>
      </c>
      <c r="AH117" s="43">
        <v>0</v>
      </c>
      <c r="AI117" s="35" t="s">
        <v>12</v>
      </c>
    </row>
    <row r="118" spans="1:35" ht="15" customHeight="1" x14ac:dyDescent="0.35">
      <c r="A118" s="29" t="s">
        <v>174</v>
      </c>
      <c r="B118" s="33" t="s">
        <v>33</v>
      </c>
      <c r="C118" s="43">
        <v>0</v>
      </c>
      <c r="D118" s="43">
        <v>0</v>
      </c>
      <c r="E118" s="43">
        <v>0</v>
      </c>
      <c r="F118" s="43">
        <v>0</v>
      </c>
      <c r="G118" s="43">
        <v>0</v>
      </c>
      <c r="H118" s="43">
        <v>0</v>
      </c>
      <c r="I118" s="43">
        <v>0</v>
      </c>
      <c r="J118" s="43">
        <v>0</v>
      </c>
      <c r="K118" s="43">
        <v>0</v>
      </c>
      <c r="L118" s="43">
        <v>0</v>
      </c>
      <c r="M118" s="43">
        <v>0</v>
      </c>
      <c r="N118" s="43">
        <v>0</v>
      </c>
      <c r="O118" s="43">
        <v>0</v>
      </c>
      <c r="P118" s="43">
        <v>0</v>
      </c>
      <c r="Q118" s="43">
        <v>0</v>
      </c>
      <c r="R118" s="43">
        <v>0</v>
      </c>
      <c r="S118" s="43">
        <v>0</v>
      </c>
      <c r="T118" s="43">
        <v>0</v>
      </c>
      <c r="U118" s="43">
        <v>0</v>
      </c>
      <c r="V118" s="43">
        <v>0</v>
      </c>
      <c r="W118" s="43">
        <v>0</v>
      </c>
      <c r="X118" s="43">
        <v>0</v>
      </c>
      <c r="Y118" s="43">
        <v>0</v>
      </c>
      <c r="Z118" s="43">
        <v>0</v>
      </c>
      <c r="AA118" s="43">
        <v>0</v>
      </c>
      <c r="AB118" s="43">
        <v>0</v>
      </c>
      <c r="AC118" s="43">
        <v>0</v>
      </c>
      <c r="AD118" s="43">
        <v>0</v>
      </c>
      <c r="AE118" s="43">
        <v>0</v>
      </c>
      <c r="AF118" s="43">
        <v>0</v>
      </c>
      <c r="AG118" s="43">
        <v>0</v>
      </c>
      <c r="AH118" s="43">
        <v>0</v>
      </c>
      <c r="AI118" s="35" t="s">
        <v>12</v>
      </c>
    </row>
    <row r="119" spans="1:35" ht="15" customHeight="1" x14ac:dyDescent="0.35">
      <c r="A119" s="29" t="s">
        <v>670</v>
      </c>
      <c r="B119" s="33" t="s">
        <v>558</v>
      </c>
      <c r="C119" s="43">
        <v>0</v>
      </c>
      <c r="D119" s="43">
        <v>0</v>
      </c>
      <c r="E119" s="43">
        <v>0</v>
      </c>
      <c r="F119" s="43">
        <v>0</v>
      </c>
      <c r="G119" s="43">
        <v>0</v>
      </c>
      <c r="H119" s="43">
        <v>0</v>
      </c>
      <c r="I119" s="43">
        <v>0</v>
      </c>
      <c r="J119" s="43">
        <v>0</v>
      </c>
      <c r="K119" s="43">
        <v>0</v>
      </c>
      <c r="L119" s="43">
        <v>0</v>
      </c>
      <c r="M119" s="43">
        <v>0</v>
      </c>
      <c r="N119" s="43">
        <v>0</v>
      </c>
      <c r="O119" s="43">
        <v>0</v>
      </c>
      <c r="P119" s="43">
        <v>0</v>
      </c>
      <c r="Q119" s="43">
        <v>0</v>
      </c>
      <c r="R119" s="43">
        <v>0</v>
      </c>
      <c r="S119" s="43">
        <v>0</v>
      </c>
      <c r="T119" s="43">
        <v>0</v>
      </c>
      <c r="U119" s="43">
        <v>0</v>
      </c>
      <c r="V119" s="43">
        <v>0</v>
      </c>
      <c r="W119" s="43">
        <v>0</v>
      </c>
      <c r="X119" s="43">
        <v>0</v>
      </c>
      <c r="Y119" s="43">
        <v>0</v>
      </c>
      <c r="Z119" s="43">
        <v>0</v>
      </c>
      <c r="AA119" s="43">
        <v>0</v>
      </c>
      <c r="AB119" s="43">
        <v>0</v>
      </c>
      <c r="AC119" s="43">
        <v>0</v>
      </c>
      <c r="AD119" s="43">
        <v>0</v>
      </c>
      <c r="AE119" s="43">
        <v>0</v>
      </c>
      <c r="AF119" s="43">
        <v>0</v>
      </c>
      <c r="AG119" s="43">
        <v>0</v>
      </c>
      <c r="AH119" s="43">
        <v>0</v>
      </c>
      <c r="AI119" s="35" t="s">
        <v>12</v>
      </c>
    </row>
    <row r="120" spans="1:35" ht="15" customHeight="1" x14ac:dyDescent="0.35">
      <c r="A120" s="29" t="s">
        <v>671</v>
      </c>
      <c r="B120" s="33" t="s">
        <v>559</v>
      </c>
      <c r="C120" s="43">
        <v>0</v>
      </c>
      <c r="D120" s="43">
        <v>0</v>
      </c>
      <c r="E120" s="43">
        <v>0</v>
      </c>
      <c r="F120" s="43">
        <v>0</v>
      </c>
      <c r="G120" s="43">
        <v>0</v>
      </c>
      <c r="H120" s="43">
        <v>0</v>
      </c>
      <c r="I120" s="43">
        <v>0</v>
      </c>
      <c r="J120" s="43">
        <v>0</v>
      </c>
      <c r="K120" s="43">
        <v>0</v>
      </c>
      <c r="L120" s="43">
        <v>0</v>
      </c>
      <c r="M120" s="43">
        <v>0</v>
      </c>
      <c r="N120" s="43">
        <v>0</v>
      </c>
      <c r="O120" s="43">
        <v>0</v>
      </c>
      <c r="P120" s="43">
        <v>0</v>
      </c>
      <c r="Q120" s="43">
        <v>0</v>
      </c>
      <c r="R120" s="43">
        <v>0</v>
      </c>
      <c r="S120" s="43">
        <v>0</v>
      </c>
      <c r="T120" s="43">
        <v>0</v>
      </c>
      <c r="U120" s="43">
        <v>0</v>
      </c>
      <c r="V120" s="43">
        <v>0</v>
      </c>
      <c r="W120" s="43">
        <v>0</v>
      </c>
      <c r="X120" s="43">
        <v>0</v>
      </c>
      <c r="Y120" s="43">
        <v>0</v>
      </c>
      <c r="Z120" s="43">
        <v>0</v>
      </c>
      <c r="AA120" s="43">
        <v>0</v>
      </c>
      <c r="AB120" s="43">
        <v>0</v>
      </c>
      <c r="AC120" s="43">
        <v>0</v>
      </c>
      <c r="AD120" s="43">
        <v>0</v>
      </c>
      <c r="AE120" s="43">
        <v>0</v>
      </c>
      <c r="AF120" s="43">
        <v>0</v>
      </c>
      <c r="AG120" s="43">
        <v>0</v>
      </c>
      <c r="AH120" s="43">
        <v>0</v>
      </c>
      <c r="AI120" s="35" t="s">
        <v>12</v>
      </c>
    </row>
    <row r="122" spans="1:35" ht="15" customHeight="1" x14ac:dyDescent="0.35">
      <c r="A122" s="25"/>
      <c r="B122" s="32" t="s">
        <v>173</v>
      </c>
      <c r="C122" s="25"/>
      <c r="D122" s="25"/>
      <c r="E122" s="25"/>
      <c r="F122" s="25"/>
      <c r="G122" s="25"/>
      <c r="H122" s="25"/>
      <c r="I122" s="25"/>
      <c r="J122" s="25"/>
      <c r="K122" s="25"/>
      <c r="L122" s="25"/>
      <c r="M122" s="25"/>
      <c r="N122" s="25"/>
      <c r="O122" s="25"/>
      <c r="P122" s="25"/>
      <c r="Q122" s="25"/>
      <c r="R122" s="25"/>
      <c r="S122" s="25"/>
      <c r="T122" s="25"/>
      <c r="U122" s="25"/>
      <c r="V122" s="25"/>
      <c r="W122" s="25"/>
      <c r="X122" s="25"/>
      <c r="Y122" s="25"/>
      <c r="Z122" s="25"/>
      <c r="AA122" s="25"/>
      <c r="AB122" s="25"/>
      <c r="AC122" s="25"/>
      <c r="AD122" s="25"/>
      <c r="AE122" s="25"/>
      <c r="AF122" s="25"/>
      <c r="AG122" s="25"/>
      <c r="AH122" s="25"/>
      <c r="AI122" s="25"/>
    </row>
    <row r="123" spans="1:35" ht="15" customHeight="1" x14ac:dyDescent="0.35">
      <c r="A123" s="29" t="s">
        <v>172</v>
      </c>
      <c r="B123" s="33" t="s">
        <v>55</v>
      </c>
      <c r="C123" s="43">
        <v>0</v>
      </c>
      <c r="D123" s="43">
        <v>0</v>
      </c>
      <c r="E123" s="43">
        <v>0</v>
      </c>
      <c r="F123" s="43">
        <v>0</v>
      </c>
      <c r="G123" s="43">
        <v>0</v>
      </c>
      <c r="H123" s="43">
        <v>0</v>
      </c>
      <c r="I123" s="43">
        <v>0</v>
      </c>
      <c r="J123" s="43">
        <v>0</v>
      </c>
      <c r="K123" s="43">
        <v>0</v>
      </c>
      <c r="L123" s="43">
        <v>0</v>
      </c>
      <c r="M123" s="43">
        <v>0</v>
      </c>
      <c r="N123" s="43">
        <v>0</v>
      </c>
      <c r="O123" s="43">
        <v>0</v>
      </c>
      <c r="P123" s="43">
        <v>0</v>
      </c>
      <c r="Q123" s="43">
        <v>0</v>
      </c>
      <c r="R123" s="43">
        <v>0</v>
      </c>
      <c r="S123" s="43">
        <v>0</v>
      </c>
      <c r="T123" s="43">
        <v>0</v>
      </c>
      <c r="U123" s="43">
        <v>0</v>
      </c>
      <c r="V123" s="43">
        <v>0</v>
      </c>
      <c r="W123" s="43">
        <v>0</v>
      </c>
      <c r="X123" s="43">
        <v>0</v>
      </c>
      <c r="Y123" s="43">
        <v>0</v>
      </c>
      <c r="Z123" s="43">
        <v>0</v>
      </c>
      <c r="AA123" s="43">
        <v>0</v>
      </c>
      <c r="AB123" s="43">
        <v>0</v>
      </c>
      <c r="AC123" s="43">
        <v>0</v>
      </c>
      <c r="AD123" s="43">
        <v>0</v>
      </c>
      <c r="AE123" s="43">
        <v>0</v>
      </c>
      <c r="AF123" s="43">
        <v>0</v>
      </c>
      <c r="AG123" s="43">
        <v>0</v>
      </c>
      <c r="AH123" s="43">
        <v>0</v>
      </c>
      <c r="AI123" s="35" t="s">
        <v>12</v>
      </c>
    </row>
    <row r="124" spans="1:35" ht="15" customHeight="1" x14ac:dyDescent="0.35">
      <c r="A124" s="29" t="s">
        <v>171</v>
      </c>
      <c r="B124" s="33" t="s">
        <v>53</v>
      </c>
      <c r="C124" s="43">
        <v>0</v>
      </c>
      <c r="D124" s="43">
        <v>0</v>
      </c>
      <c r="E124" s="43">
        <v>0</v>
      </c>
      <c r="F124" s="43">
        <v>0</v>
      </c>
      <c r="G124" s="43">
        <v>0</v>
      </c>
      <c r="H124" s="43">
        <v>0</v>
      </c>
      <c r="I124" s="43">
        <v>0</v>
      </c>
      <c r="J124" s="43">
        <v>0</v>
      </c>
      <c r="K124" s="43">
        <v>0</v>
      </c>
      <c r="L124" s="43">
        <v>0</v>
      </c>
      <c r="M124" s="43">
        <v>0</v>
      </c>
      <c r="N124" s="43">
        <v>0</v>
      </c>
      <c r="O124" s="43">
        <v>0</v>
      </c>
      <c r="P124" s="43">
        <v>0</v>
      </c>
      <c r="Q124" s="43">
        <v>0</v>
      </c>
      <c r="R124" s="43">
        <v>0</v>
      </c>
      <c r="S124" s="43">
        <v>0</v>
      </c>
      <c r="T124" s="43">
        <v>0</v>
      </c>
      <c r="U124" s="43">
        <v>0</v>
      </c>
      <c r="V124" s="43">
        <v>0</v>
      </c>
      <c r="W124" s="43">
        <v>0</v>
      </c>
      <c r="X124" s="43">
        <v>0</v>
      </c>
      <c r="Y124" s="43">
        <v>0</v>
      </c>
      <c r="Z124" s="43">
        <v>0</v>
      </c>
      <c r="AA124" s="43">
        <v>0</v>
      </c>
      <c r="AB124" s="43">
        <v>0</v>
      </c>
      <c r="AC124" s="43">
        <v>0</v>
      </c>
      <c r="AD124" s="43">
        <v>0</v>
      </c>
      <c r="AE124" s="43">
        <v>0</v>
      </c>
      <c r="AF124" s="43">
        <v>0</v>
      </c>
      <c r="AG124" s="43">
        <v>0</v>
      </c>
      <c r="AH124" s="43">
        <v>0</v>
      </c>
      <c r="AI124" s="35" t="s">
        <v>12</v>
      </c>
    </row>
    <row r="125" spans="1:35" ht="15" customHeight="1" x14ac:dyDescent="0.35">
      <c r="A125" s="29" t="s">
        <v>170</v>
      </c>
      <c r="B125" s="33" t="s">
        <v>51</v>
      </c>
      <c r="C125" s="43">
        <v>36.910224999999997</v>
      </c>
      <c r="D125" s="43">
        <v>37.353637999999997</v>
      </c>
      <c r="E125" s="43">
        <v>37.721294</v>
      </c>
      <c r="F125" s="43">
        <v>38.117683</v>
      </c>
      <c r="G125" s="43">
        <v>38.525787000000001</v>
      </c>
      <c r="H125" s="43">
        <v>38.71875</v>
      </c>
      <c r="I125" s="43">
        <v>39.124122999999997</v>
      </c>
      <c r="J125" s="43">
        <v>39.237366000000002</v>
      </c>
      <c r="K125" s="43">
        <v>39.339474000000003</v>
      </c>
      <c r="L125" s="43">
        <v>39.445270999999998</v>
      </c>
      <c r="M125" s="43">
        <v>39.549835000000002</v>
      </c>
      <c r="N125" s="43">
        <v>39.648392000000001</v>
      </c>
      <c r="O125" s="43">
        <v>39.754021000000002</v>
      </c>
      <c r="P125" s="43">
        <v>39.859009</v>
      </c>
      <c r="Q125" s="43">
        <v>39.959991000000002</v>
      </c>
      <c r="R125" s="43">
        <v>39.999175999999999</v>
      </c>
      <c r="S125" s="43">
        <v>40.026423999999999</v>
      </c>
      <c r="T125" s="43">
        <v>40.052612000000003</v>
      </c>
      <c r="U125" s="43">
        <v>40.081764</v>
      </c>
      <c r="V125" s="43">
        <v>40.107792000000003</v>
      </c>
      <c r="W125" s="43">
        <v>40.133194000000003</v>
      </c>
      <c r="X125" s="43">
        <v>40.163131999999997</v>
      </c>
      <c r="Y125" s="43">
        <v>40.191153999999997</v>
      </c>
      <c r="Z125" s="43">
        <v>40.216521999999998</v>
      </c>
      <c r="AA125" s="43">
        <v>40.244945999999999</v>
      </c>
      <c r="AB125" s="43">
        <v>40.273285000000001</v>
      </c>
      <c r="AC125" s="43">
        <v>40.300364999999999</v>
      </c>
      <c r="AD125" s="43">
        <v>40.331394000000003</v>
      </c>
      <c r="AE125" s="43">
        <v>40.357135999999997</v>
      </c>
      <c r="AF125" s="43">
        <v>40.384574999999998</v>
      </c>
      <c r="AG125" s="43">
        <v>40.412567000000003</v>
      </c>
      <c r="AH125" s="43">
        <v>40.434750000000001</v>
      </c>
      <c r="AI125" s="35">
        <v>2.9459999999999998E-3</v>
      </c>
    </row>
    <row r="126" spans="1:35" ht="15" customHeight="1" x14ac:dyDescent="0.35">
      <c r="A126" s="29" t="s">
        <v>169</v>
      </c>
      <c r="B126" s="33" t="s">
        <v>49</v>
      </c>
      <c r="C126" s="43">
        <v>0</v>
      </c>
      <c r="D126" s="43">
        <v>0</v>
      </c>
      <c r="E126" s="43">
        <v>0</v>
      </c>
      <c r="F126" s="43">
        <v>0</v>
      </c>
      <c r="G126" s="43">
        <v>0</v>
      </c>
      <c r="H126" s="43">
        <v>0</v>
      </c>
      <c r="I126" s="43">
        <v>0</v>
      </c>
      <c r="J126" s="43">
        <v>0</v>
      </c>
      <c r="K126" s="43">
        <v>0</v>
      </c>
      <c r="L126" s="43">
        <v>0</v>
      </c>
      <c r="M126" s="43">
        <v>0</v>
      </c>
      <c r="N126" s="43">
        <v>0</v>
      </c>
      <c r="O126" s="43">
        <v>0</v>
      </c>
      <c r="P126" s="43">
        <v>0</v>
      </c>
      <c r="Q126" s="43">
        <v>0</v>
      </c>
      <c r="R126" s="43">
        <v>0</v>
      </c>
      <c r="S126" s="43">
        <v>0</v>
      </c>
      <c r="T126" s="43">
        <v>0</v>
      </c>
      <c r="U126" s="43">
        <v>0</v>
      </c>
      <c r="V126" s="43">
        <v>0</v>
      </c>
      <c r="W126" s="43">
        <v>0</v>
      </c>
      <c r="X126" s="43">
        <v>0</v>
      </c>
      <c r="Y126" s="43">
        <v>0</v>
      </c>
      <c r="Z126" s="43">
        <v>0</v>
      </c>
      <c r="AA126" s="43">
        <v>0</v>
      </c>
      <c r="AB126" s="43">
        <v>0</v>
      </c>
      <c r="AC126" s="43">
        <v>0</v>
      </c>
      <c r="AD126" s="43">
        <v>0</v>
      </c>
      <c r="AE126" s="43">
        <v>0</v>
      </c>
      <c r="AF126" s="43">
        <v>0</v>
      </c>
      <c r="AG126" s="43">
        <v>0</v>
      </c>
      <c r="AH126" s="43">
        <v>0</v>
      </c>
      <c r="AI126" s="35" t="s">
        <v>12</v>
      </c>
    </row>
    <row r="127" spans="1:35" ht="15" customHeight="1" x14ac:dyDescent="0.35">
      <c r="A127" s="29" t="s">
        <v>168</v>
      </c>
      <c r="B127" s="33" t="s">
        <v>47</v>
      </c>
      <c r="C127" s="43">
        <v>42.019485000000003</v>
      </c>
      <c r="D127" s="43">
        <v>42.473529999999997</v>
      </c>
      <c r="E127" s="43">
        <v>42.846691</v>
      </c>
      <c r="F127" s="43">
        <v>43.181389000000003</v>
      </c>
      <c r="G127" s="43">
        <v>43.453662999999999</v>
      </c>
      <c r="H127" s="43">
        <v>43.656604999999999</v>
      </c>
      <c r="I127" s="43">
        <v>44.120739</v>
      </c>
      <c r="J127" s="43">
        <v>44.234848</v>
      </c>
      <c r="K127" s="43">
        <v>44.334915000000002</v>
      </c>
      <c r="L127" s="43">
        <v>44.437843000000001</v>
      </c>
      <c r="M127" s="43">
        <v>44.539898000000001</v>
      </c>
      <c r="N127" s="43">
        <v>44.636650000000003</v>
      </c>
      <c r="O127" s="43">
        <v>44.739758000000002</v>
      </c>
      <c r="P127" s="43">
        <v>44.842250999999997</v>
      </c>
      <c r="Q127" s="43">
        <v>44.940936999999998</v>
      </c>
      <c r="R127" s="43">
        <v>44.977038999999998</v>
      </c>
      <c r="S127" s="43">
        <v>45.002132000000003</v>
      </c>
      <c r="T127" s="43">
        <v>45.026477999999997</v>
      </c>
      <c r="U127" s="43">
        <v>45.052779999999998</v>
      </c>
      <c r="V127" s="43">
        <v>45.076248</v>
      </c>
      <c r="W127" s="43">
        <v>45.099167000000001</v>
      </c>
      <c r="X127" s="43">
        <v>45.125252000000003</v>
      </c>
      <c r="Y127" s="43">
        <v>45.149569999999997</v>
      </c>
      <c r="Z127" s="43">
        <v>45.171585</v>
      </c>
      <c r="AA127" s="43">
        <v>45.195858000000001</v>
      </c>
      <c r="AB127" s="43">
        <v>45.219700000000003</v>
      </c>
      <c r="AC127" s="43">
        <v>45.242370999999999</v>
      </c>
      <c r="AD127" s="43">
        <v>45.268146999999999</v>
      </c>
      <c r="AE127" s="43">
        <v>45.289692000000002</v>
      </c>
      <c r="AF127" s="43">
        <v>45.312533999999999</v>
      </c>
      <c r="AG127" s="43">
        <v>45.335720000000002</v>
      </c>
      <c r="AH127" s="43">
        <v>45.352927999999999</v>
      </c>
      <c r="AI127" s="35">
        <v>2.4659999999999999E-3</v>
      </c>
    </row>
    <row r="128" spans="1:35" ht="15" customHeight="1" x14ac:dyDescent="0.35">
      <c r="A128" s="29" t="s">
        <v>167</v>
      </c>
      <c r="B128" s="33" t="s">
        <v>45</v>
      </c>
      <c r="C128" s="43">
        <v>0</v>
      </c>
      <c r="D128" s="43">
        <v>0</v>
      </c>
      <c r="E128" s="43">
        <v>0</v>
      </c>
      <c r="F128" s="43">
        <v>0</v>
      </c>
      <c r="G128" s="43">
        <v>0</v>
      </c>
      <c r="H128" s="43">
        <v>0</v>
      </c>
      <c r="I128" s="43">
        <v>0</v>
      </c>
      <c r="J128" s="43">
        <v>0</v>
      </c>
      <c r="K128" s="43">
        <v>0</v>
      </c>
      <c r="L128" s="43">
        <v>0</v>
      </c>
      <c r="M128" s="43">
        <v>0</v>
      </c>
      <c r="N128" s="43">
        <v>0</v>
      </c>
      <c r="O128" s="43">
        <v>0</v>
      </c>
      <c r="P128" s="43">
        <v>0</v>
      </c>
      <c r="Q128" s="43">
        <v>0</v>
      </c>
      <c r="R128" s="43">
        <v>0</v>
      </c>
      <c r="S128" s="43">
        <v>0</v>
      </c>
      <c r="T128" s="43">
        <v>0</v>
      </c>
      <c r="U128" s="43">
        <v>0</v>
      </c>
      <c r="V128" s="43">
        <v>0</v>
      </c>
      <c r="W128" s="43">
        <v>0</v>
      </c>
      <c r="X128" s="43">
        <v>0</v>
      </c>
      <c r="Y128" s="43">
        <v>0</v>
      </c>
      <c r="Z128" s="43">
        <v>0</v>
      </c>
      <c r="AA128" s="43">
        <v>0</v>
      </c>
      <c r="AB128" s="43">
        <v>0</v>
      </c>
      <c r="AC128" s="43">
        <v>0</v>
      </c>
      <c r="AD128" s="43">
        <v>0</v>
      </c>
      <c r="AE128" s="43">
        <v>0</v>
      </c>
      <c r="AF128" s="43">
        <v>0</v>
      </c>
      <c r="AG128" s="43">
        <v>0</v>
      </c>
      <c r="AH128" s="43">
        <v>0</v>
      </c>
      <c r="AI128" s="35" t="s">
        <v>12</v>
      </c>
    </row>
    <row r="129" spans="1:35" ht="15" customHeight="1" x14ac:dyDescent="0.35">
      <c r="A129" s="29" t="s">
        <v>672</v>
      </c>
      <c r="B129" s="33" t="s">
        <v>556</v>
      </c>
      <c r="C129" s="43">
        <v>0</v>
      </c>
      <c r="D129" s="43">
        <v>0</v>
      </c>
      <c r="E129" s="43">
        <v>0</v>
      </c>
      <c r="F129" s="43">
        <v>0</v>
      </c>
      <c r="G129" s="43">
        <v>0</v>
      </c>
      <c r="H129" s="43">
        <v>0</v>
      </c>
      <c r="I129" s="43">
        <v>0</v>
      </c>
      <c r="J129" s="43">
        <v>0</v>
      </c>
      <c r="K129" s="43">
        <v>0</v>
      </c>
      <c r="L129" s="43">
        <v>0</v>
      </c>
      <c r="M129" s="43">
        <v>0</v>
      </c>
      <c r="N129" s="43">
        <v>0</v>
      </c>
      <c r="O129" s="43">
        <v>0</v>
      </c>
      <c r="P129" s="43">
        <v>0</v>
      </c>
      <c r="Q129" s="43">
        <v>0</v>
      </c>
      <c r="R129" s="43">
        <v>0</v>
      </c>
      <c r="S129" s="43">
        <v>0</v>
      </c>
      <c r="T129" s="43">
        <v>0</v>
      </c>
      <c r="U129" s="43">
        <v>0</v>
      </c>
      <c r="V129" s="43">
        <v>0</v>
      </c>
      <c r="W129" s="43">
        <v>0</v>
      </c>
      <c r="X129" s="43">
        <v>0</v>
      </c>
      <c r="Y129" s="43">
        <v>0</v>
      </c>
      <c r="Z129" s="43">
        <v>0</v>
      </c>
      <c r="AA129" s="43">
        <v>0</v>
      </c>
      <c r="AB129" s="43">
        <v>0</v>
      </c>
      <c r="AC129" s="43">
        <v>0</v>
      </c>
      <c r="AD129" s="43">
        <v>0</v>
      </c>
      <c r="AE129" s="43">
        <v>0</v>
      </c>
      <c r="AF129" s="43">
        <v>0</v>
      </c>
      <c r="AG129" s="43">
        <v>0</v>
      </c>
      <c r="AH129" s="43">
        <v>0</v>
      </c>
      <c r="AI129" s="35" t="s">
        <v>12</v>
      </c>
    </row>
    <row r="130" spans="1:35" ht="15" customHeight="1" x14ac:dyDescent="0.35">
      <c r="A130" s="29" t="s">
        <v>673</v>
      </c>
      <c r="B130" s="33" t="s">
        <v>557</v>
      </c>
      <c r="C130" s="43">
        <v>0</v>
      </c>
      <c r="D130" s="43">
        <v>0</v>
      </c>
      <c r="E130" s="43">
        <v>0</v>
      </c>
      <c r="F130" s="43">
        <v>0</v>
      </c>
      <c r="G130" s="43">
        <v>0</v>
      </c>
      <c r="H130" s="43">
        <v>0</v>
      </c>
      <c r="I130" s="43">
        <v>0</v>
      </c>
      <c r="J130" s="43">
        <v>0</v>
      </c>
      <c r="K130" s="43">
        <v>0</v>
      </c>
      <c r="L130" s="43">
        <v>0</v>
      </c>
      <c r="M130" s="43">
        <v>0</v>
      </c>
      <c r="N130" s="43">
        <v>0</v>
      </c>
      <c r="O130" s="43">
        <v>0</v>
      </c>
      <c r="P130" s="43">
        <v>0</v>
      </c>
      <c r="Q130" s="43">
        <v>0</v>
      </c>
      <c r="R130" s="43">
        <v>0</v>
      </c>
      <c r="S130" s="43">
        <v>0</v>
      </c>
      <c r="T130" s="43">
        <v>0</v>
      </c>
      <c r="U130" s="43">
        <v>0</v>
      </c>
      <c r="V130" s="43">
        <v>0</v>
      </c>
      <c r="W130" s="43">
        <v>0</v>
      </c>
      <c r="X130" s="43">
        <v>0</v>
      </c>
      <c r="Y130" s="43">
        <v>0</v>
      </c>
      <c r="Z130" s="43">
        <v>0</v>
      </c>
      <c r="AA130" s="43">
        <v>0</v>
      </c>
      <c r="AB130" s="43">
        <v>0</v>
      </c>
      <c r="AC130" s="43">
        <v>0</v>
      </c>
      <c r="AD130" s="43">
        <v>0</v>
      </c>
      <c r="AE130" s="43">
        <v>0</v>
      </c>
      <c r="AF130" s="43">
        <v>0</v>
      </c>
      <c r="AG130" s="43">
        <v>0</v>
      </c>
      <c r="AH130" s="43">
        <v>0</v>
      </c>
      <c r="AI130" s="35" t="s">
        <v>12</v>
      </c>
    </row>
    <row r="131" spans="1:35" ht="15" customHeight="1" x14ac:dyDescent="0.35">
      <c r="A131" s="29" t="s">
        <v>166</v>
      </c>
      <c r="B131" s="33" t="s">
        <v>43</v>
      </c>
      <c r="C131" s="43">
        <v>0</v>
      </c>
      <c r="D131" s="43">
        <v>0</v>
      </c>
      <c r="E131" s="43">
        <v>0</v>
      </c>
      <c r="F131" s="43">
        <v>0</v>
      </c>
      <c r="G131" s="43">
        <v>0</v>
      </c>
      <c r="H131" s="43">
        <v>0</v>
      </c>
      <c r="I131" s="43">
        <v>0</v>
      </c>
      <c r="J131" s="43">
        <v>0</v>
      </c>
      <c r="K131" s="43">
        <v>0</v>
      </c>
      <c r="L131" s="43">
        <v>0</v>
      </c>
      <c r="M131" s="43">
        <v>0</v>
      </c>
      <c r="N131" s="43">
        <v>0</v>
      </c>
      <c r="O131" s="43">
        <v>0</v>
      </c>
      <c r="P131" s="43">
        <v>0</v>
      </c>
      <c r="Q131" s="43">
        <v>0</v>
      </c>
      <c r="R131" s="43">
        <v>0</v>
      </c>
      <c r="S131" s="43">
        <v>0</v>
      </c>
      <c r="T131" s="43">
        <v>0</v>
      </c>
      <c r="U131" s="43">
        <v>0</v>
      </c>
      <c r="V131" s="43">
        <v>0</v>
      </c>
      <c r="W131" s="43">
        <v>0</v>
      </c>
      <c r="X131" s="43">
        <v>0</v>
      </c>
      <c r="Y131" s="43">
        <v>0</v>
      </c>
      <c r="Z131" s="43">
        <v>0</v>
      </c>
      <c r="AA131" s="43">
        <v>0</v>
      </c>
      <c r="AB131" s="43">
        <v>0</v>
      </c>
      <c r="AC131" s="43">
        <v>0</v>
      </c>
      <c r="AD131" s="43">
        <v>0</v>
      </c>
      <c r="AE131" s="43">
        <v>0</v>
      </c>
      <c r="AF131" s="43">
        <v>0</v>
      </c>
      <c r="AG131" s="43">
        <v>0</v>
      </c>
      <c r="AH131" s="43">
        <v>0</v>
      </c>
      <c r="AI131" s="35" t="s">
        <v>12</v>
      </c>
    </row>
    <row r="132" spans="1:35" ht="15" customHeight="1" x14ac:dyDescent="0.35">
      <c r="A132" s="29" t="s">
        <v>165</v>
      </c>
      <c r="B132" s="33" t="s">
        <v>41</v>
      </c>
      <c r="C132" s="43">
        <v>46.447578</v>
      </c>
      <c r="D132" s="43">
        <v>46.957436000000001</v>
      </c>
      <c r="E132" s="43">
        <v>47.307602000000003</v>
      </c>
      <c r="F132" s="43">
        <v>47.576897000000002</v>
      </c>
      <c r="G132" s="43">
        <v>47.830669</v>
      </c>
      <c r="H132" s="43">
        <v>48.292763000000001</v>
      </c>
      <c r="I132" s="43">
        <v>48.675846</v>
      </c>
      <c r="J132" s="43">
        <v>48.769072999999999</v>
      </c>
      <c r="K132" s="43">
        <v>48.861697999999997</v>
      </c>
      <c r="L132" s="43">
        <v>48.955672999999997</v>
      </c>
      <c r="M132" s="43">
        <v>49.049075999999999</v>
      </c>
      <c r="N132" s="43">
        <v>49.139713</v>
      </c>
      <c r="O132" s="43">
        <v>49.233269</v>
      </c>
      <c r="P132" s="43">
        <v>49.326625999999997</v>
      </c>
      <c r="Q132" s="43">
        <v>49.418140000000001</v>
      </c>
      <c r="R132" s="43">
        <v>49.445999</v>
      </c>
      <c r="S132" s="43">
        <v>49.461303999999998</v>
      </c>
      <c r="T132" s="43">
        <v>49.47607</v>
      </c>
      <c r="U132" s="43">
        <v>49.492961999999999</v>
      </c>
      <c r="V132" s="43">
        <v>49.508395999999998</v>
      </c>
      <c r="W132" s="43">
        <v>49.523772999999998</v>
      </c>
      <c r="X132" s="43">
        <v>49.540936000000002</v>
      </c>
      <c r="Y132" s="43">
        <v>49.557281000000003</v>
      </c>
      <c r="Z132" s="43">
        <v>49.572448999999999</v>
      </c>
      <c r="AA132" s="43">
        <v>49.588909000000001</v>
      </c>
      <c r="AB132" s="43">
        <v>49.605663</v>
      </c>
      <c r="AC132" s="43">
        <v>49.644435999999999</v>
      </c>
      <c r="AD132" s="43">
        <v>49.684058999999998</v>
      </c>
      <c r="AE132" s="43">
        <v>49.722191000000002</v>
      </c>
      <c r="AF132" s="43">
        <v>49.760914</v>
      </c>
      <c r="AG132" s="43">
        <v>49.799618000000002</v>
      </c>
      <c r="AH132" s="43">
        <v>49.832264000000002</v>
      </c>
      <c r="AI132" s="35">
        <v>2.2720000000000001E-3</v>
      </c>
    </row>
    <row r="133" spans="1:35" ht="15" customHeight="1" x14ac:dyDescent="0.35">
      <c r="A133" s="29" t="s">
        <v>164</v>
      </c>
      <c r="B133" s="33" t="s">
        <v>39</v>
      </c>
      <c r="C133" s="43">
        <v>0</v>
      </c>
      <c r="D133" s="43">
        <v>0</v>
      </c>
      <c r="E133" s="43">
        <v>0</v>
      </c>
      <c r="F133" s="43">
        <v>0</v>
      </c>
      <c r="G133" s="43">
        <v>0</v>
      </c>
      <c r="H133" s="43">
        <v>0</v>
      </c>
      <c r="I133" s="43">
        <v>0</v>
      </c>
      <c r="J133" s="43">
        <v>0</v>
      </c>
      <c r="K133" s="43">
        <v>0</v>
      </c>
      <c r="L133" s="43">
        <v>0</v>
      </c>
      <c r="M133" s="43">
        <v>0</v>
      </c>
      <c r="N133" s="43">
        <v>0</v>
      </c>
      <c r="O133" s="43">
        <v>0</v>
      </c>
      <c r="P133" s="43">
        <v>0</v>
      </c>
      <c r="Q133" s="43">
        <v>0</v>
      </c>
      <c r="R133" s="43">
        <v>0</v>
      </c>
      <c r="S133" s="43">
        <v>0</v>
      </c>
      <c r="T133" s="43">
        <v>0</v>
      </c>
      <c r="U133" s="43">
        <v>0</v>
      </c>
      <c r="V133" s="43">
        <v>0</v>
      </c>
      <c r="W133" s="43">
        <v>0</v>
      </c>
      <c r="X133" s="43">
        <v>0</v>
      </c>
      <c r="Y133" s="43">
        <v>0</v>
      </c>
      <c r="Z133" s="43">
        <v>0</v>
      </c>
      <c r="AA133" s="43">
        <v>0</v>
      </c>
      <c r="AB133" s="43">
        <v>0</v>
      </c>
      <c r="AC133" s="43">
        <v>0</v>
      </c>
      <c r="AD133" s="43">
        <v>0</v>
      </c>
      <c r="AE133" s="43">
        <v>0</v>
      </c>
      <c r="AF133" s="43">
        <v>0</v>
      </c>
      <c r="AG133" s="43">
        <v>0</v>
      </c>
      <c r="AH133" s="43">
        <v>0</v>
      </c>
      <c r="AI133" s="35" t="s">
        <v>12</v>
      </c>
    </row>
    <row r="134" spans="1:35" ht="15" customHeight="1" x14ac:dyDescent="0.35">
      <c r="A134" s="29" t="s">
        <v>163</v>
      </c>
      <c r="B134" s="33" t="s">
        <v>37</v>
      </c>
      <c r="C134" s="43">
        <v>39.480674999999998</v>
      </c>
      <c r="D134" s="43">
        <v>40.107857000000003</v>
      </c>
      <c r="E134" s="43">
        <v>40.685085000000001</v>
      </c>
      <c r="F134" s="43">
        <v>41.195335</v>
      </c>
      <c r="G134" s="43">
        <v>41.678412999999999</v>
      </c>
      <c r="H134" s="43">
        <v>42.176037000000001</v>
      </c>
      <c r="I134" s="43">
        <v>42.365738</v>
      </c>
      <c r="J134" s="43">
        <v>42.454211999999998</v>
      </c>
      <c r="K134" s="43">
        <v>42.542121999999999</v>
      </c>
      <c r="L134" s="43">
        <v>42.630370999999997</v>
      </c>
      <c r="M134" s="43">
        <v>42.718120999999996</v>
      </c>
      <c r="N134" s="43">
        <v>42.804645999999998</v>
      </c>
      <c r="O134" s="43">
        <v>42.892150999999998</v>
      </c>
      <c r="P134" s="43">
        <v>42.979469000000002</v>
      </c>
      <c r="Q134" s="43">
        <v>43.065899000000002</v>
      </c>
      <c r="R134" s="43">
        <v>43.087299000000002</v>
      </c>
      <c r="S134" s="43">
        <v>43.096362999999997</v>
      </c>
      <c r="T134" s="43">
        <v>43.105742999999997</v>
      </c>
      <c r="U134" s="43">
        <v>43.115887000000001</v>
      </c>
      <c r="V134" s="43">
        <v>43.125678999999998</v>
      </c>
      <c r="W134" s="43">
        <v>43.135303</v>
      </c>
      <c r="X134" s="43">
        <v>43.145771000000003</v>
      </c>
      <c r="Y134" s="43">
        <v>43.155968000000001</v>
      </c>
      <c r="Z134" s="43">
        <v>43.165664999999997</v>
      </c>
      <c r="AA134" s="43">
        <v>43.175933999999998</v>
      </c>
      <c r="AB134" s="43">
        <v>43.186188000000001</v>
      </c>
      <c r="AC134" s="43">
        <v>43.196151999999998</v>
      </c>
      <c r="AD134" s="43">
        <v>43.206958999999998</v>
      </c>
      <c r="AE134" s="43">
        <v>43.216805000000001</v>
      </c>
      <c r="AF134" s="43">
        <v>43.226978000000003</v>
      </c>
      <c r="AG134" s="43">
        <v>43.237312000000003</v>
      </c>
      <c r="AH134" s="43">
        <v>43.241543</v>
      </c>
      <c r="AI134" s="35">
        <v>2.9390000000000002E-3</v>
      </c>
    </row>
    <row r="135" spans="1:35" ht="15" customHeight="1" x14ac:dyDescent="0.35">
      <c r="A135" s="29" t="s">
        <v>162</v>
      </c>
      <c r="B135" s="33" t="s">
        <v>35</v>
      </c>
      <c r="C135" s="43">
        <v>0</v>
      </c>
      <c r="D135" s="43">
        <v>0</v>
      </c>
      <c r="E135" s="43">
        <v>0</v>
      </c>
      <c r="F135" s="43">
        <v>0</v>
      </c>
      <c r="G135" s="43">
        <v>0</v>
      </c>
      <c r="H135" s="43">
        <v>0</v>
      </c>
      <c r="I135" s="43">
        <v>0</v>
      </c>
      <c r="J135" s="43">
        <v>0</v>
      </c>
      <c r="K135" s="43">
        <v>0</v>
      </c>
      <c r="L135" s="43">
        <v>0</v>
      </c>
      <c r="M135" s="43">
        <v>0</v>
      </c>
      <c r="N135" s="43">
        <v>0</v>
      </c>
      <c r="O135" s="43">
        <v>0</v>
      </c>
      <c r="P135" s="43">
        <v>0</v>
      </c>
      <c r="Q135" s="43">
        <v>0</v>
      </c>
      <c r="R135" s="43">
        <v>0</v>
      </c>
      <c r="S135" s="43">
        <v>0</v>
      </c>
      <c r="T135" s="43">
        <v>0</v>
      </c>
      <c r="U135" s="43">
        <v>0</v>
      </c>
      <c r="V135" s="43">
        <v>0</v>
      </c>
      <c r="W135" s="43">
        <v>0</v>
      </c>
      <c r="X135" s="43">
        <v>0</v>
      </c>
      <c r="Y135" s="43">
        <v>0</v>
      </c>
      <c r="Z135" s="43">
        <v>0</v>
      </c>
      <c r="AA135" s="43">
        <v>0</v>
      </c>
      <c r="AB135" s="43">
        <v>0</v>
      </c>
      <c r="AC135" s="43">
        <v>0</v>
      </c>
      <c r="AD135" s="43">
        <v>0</v>
      </c>
      <c r="AE135" s="43">
        <v>0</v>
      </c>
      <c r="AF135" s="43">
        <v>0</v>
      </c>
      <c r="AG135" s="43">
        <v>0</v>
      </c>
      <c r="AH135" s="43">
        <v>0</v>
      </c>
      <c r="AI135" s="35" t="s">
        <v>12</v>
      </c>
    </row>
    <row r="136" spans="1:35" ht="15" customHeight="1" x14ac:dyDescent="0.35">
      <c r="A136" s="29" t="s">
        <v>161</v>
      </c>
      <c r="B136" s="33" t="s">
        <v>33</v>
      </c>
      <c r="C136" s="43">
        <v>0</v>
      </c>
      <c r="D136" s="43">
        <v>0</v>
      </c>
      <c r="E136" s="43">
        <v>0</v>
      </c>
      <c r="F136" s="43">
        <v>0</v>
      </c>
      <c r="G136" s="43">
        <v>0</v>
      </c>
      <c r="H136" s="43">
        <v>0</v>
      </c>
      <c r="I136" s="43">
        <v>0</v>
      </c>
      <c r="J136" s="43">
        <v>0</v>
      </c>
      <c r="K136" s="43">
        <v>0</v>
      </c>
      <c r="L136" s="43">
        <v>0</v>
      </c>
      <c r="M136" s="43">
        <v>0</v>
      </c>
      <c r="N136" s="43">
        <v>0</v>
      </c>
      <c r="O136" s="43">
        <v>0</v>
      </c>
      <c r="P136" s="43">
        <v>0</v>
      </c>
      <c r="Q136" s="43">
        <v>0</v>
      </c>
      <c r="R136" s="43">
        <v>0</v>
      </c>
      <c r="S136" s="43">
        <v>0</v>
      </c>
      <c r="T136" s="43">
        <v>0</v>
      </c>
      <c r="U136" s="43">
        <v>0</v>
      </c>
      <c r="V136" s="43">
        <v>0</v>
      </c>
      <c r="W136" s="43">
        <v>0</v>
      </c>
      <c r="X136" s="43">
        <v>0</v>
      </c>
      <c r="Y136" s="43">
        <v>0</v>
      </c>
      <c r="Z136" s="43">
        <v>0</v>
      </c>
      <c r="AA136" s="43">
        <v>0</v>
      </c>
      <c r="AB136" s="43">
        <v>0</v>
      </c>
      <c r="AC136" s="43">
        <v>0</v>
      </c>
      <c r="AD136" s="43">
        <v>0</v>
      </c>
      <c r="AE136" s="43">
        <v>0</v>
      </c>
      <c r="AF136" s="43">
        <v>0</v>
      </c>
      <c r="AG136" s="43">
        <v>0</v>
      </c>
      <c r="AH136" s="43">
        <v>0</v>
      </c>
      <c r="AI136" s="35" t="s">
        <v>12</v>
      </c>
    </row>
    <row r="137" spans="1:35" ht="15" customHeight="1" x14ac:dyDescent="0.35">
      <c r="A137" s="29" t="s">
        <v>674</v>
      </c>
      <c r="B137" s="33" t="s">
        <v>558</v>
      </c>
      <c r="C137" s="43">
        <v>0</v>
      </c>
      <c r="D137" s="43">
        <v>0</v>
      </c>
      <c r="E137" s="43">
        <v>0</v>
      </c>
      <c r="F137" s="43">
        <v>0</v>
      </c>
      <c r="G137" s="43">
        <v>0</v>
      </c>
      <c r="H137" s="43">
        <v>0</v>
      </c>
      <c r="I137" s="43">
        <v>0</v>
      </c>
      <c r="J137" s="43">
        <v>0</v>
      </c>
      <c r="K137" s="43">
        <v>0</v>
      </c>
      <c r="L137" s="43">
        <v>0</v>
      </c>
      <c r="M137" s="43">
        <v>0</v>
      </c>
      <c r="N137" s="43">
        <v>0</v>
      </c>
      <c r="O137" s="43">
        <v>0</v>
      </c>
      <c r="P137" s="43">
        <v>0</v>
      </c>
      <c r="Q137" s="43">
        <v>0</v>
      </c>
      <c r="R137" s="43">
        <v>0</v>
      </c>
      <c r="S137" s="43">
        <v>0</v>
      </c>
      <c r="T137" s="43">
        <v>0</v>
      </c>
      <c r="U137" s="43">
        <v>0</v>
      </c>
      <c r="V137" s="43">
        <v>0</v>
      </c>
      <c r="W137" s="43">
        <v>0</v>
      </c>
      <c r="X137" s="43">
        <v>0</v>
      </c>
      <c r="Y137" s="43">
        <v>0</v>
      </c>
      <c r="Z137" s="43">
        <v>0</v>
      </c>
      <c r="AA137" s="43">
        <v>0</v>
      </c>
      <c r="AB137" s="43">
        <v>0</v>
      </c>
      <c r="AC137" s="43">
        <v>0</v>
      </c>
      <c r="AD137" s="43">
        <v>0</v>
      </c>
      <c r="AE137" s="43">
        <v>0</v>
      </c>
      <c r="AF137" s="43">
        <v>0</v>
      </c>
      <c r="AG137" s="43">
        <v>0</v>
      </c>
      <c r="AH137" s="43">
        <v>0</v>
      </c>
      <c r="AI137" s="35" t="s">
        <v>12</v>
      </c>
    </row>
    <row r="138" spans="1:35" ht="15" customHeight="1" x14ac:dyDescent="0.35">
      <c r="A138" s="29" t="s">
        <v>675</v>
      </c>
      <c r="B138" s="33" t="s">
        <v>559</v>
      </c>
      <c r="C138" s="43">
        <v>0</v>
      </c>
      <c r="D138" s="43">
        <v>0</v>
      </c>
      <c r="E138" s="43">
        <v>0</v>
      </c>
      <c r="F138" s="43">
        <v>0</v>
      </c>
      <c r="G138" s="43">
        <v>0</v>
      </c>
      <c r="H138" s="43">
        <v>0</v>
      </c>
      <c r="I138" s="43">
        <v>0</v>
      </c>
      <c r="J138" s="43">
        <v>0</v>
      </c>
      <c r="K138" s="43">
        <v>0</v>
      </c>
      <c r="L138" s="43">
        <v>0</v>
      </c>
      <c r="M138" s="43">
        <v>0</v>
      </c>
      <c r="N138" s="43">
        <v>0</v>
      </c>
      <c r="O138" s="43">
        <v>0</v>
      </c>
      <c r="P138" s="43">
        <v>0</v>
      </c>
      <c r="Q138" s="43">
        <v>0</v>
      </c>
      <c r="R138" s="43">
        <v>0</v>
      </c>
      <c r="S138" s="43">
        <v>0</v>
      </c>
      <c r="T138" s="43">
        <v>0</v>
      </c>
      <c r="U138" s="43">
        <v>0</v>
      </c>
      <c r="V138" s="43">
        <v>0</v>
      </c>
      <c r="W138" s="43">
        <v>0</v>
      </c>
      <c r="X138" s="43">
        <v>0</v>
      </c>
      <c r="Y138" s="43">
        <v>0</v>
      </c>
      <c r="Z138" s="43">
        <v>0</v>
      </c>
      <c r="AA138" s="43">
        <v>0</v>
      </c>
      <c r="AB138" s="43">
        <v>0</v>
      </c>
      <c r="AC138" s="43">
        <v>0</v>
      </c>
      <c r="AD138" s="43">
        <v>0</v>
      </c>
      <c r="AE138" s="43">
        <v>0</v>
      </c>
      <c r="AF138" s="43">
        <v>0</v>
      </c>
      <c r="AG138" s="43">
        <v>0</v>
      </c>
      <c r="AH138" s="43">
        <v>0</v>
      </c>
      <c r="AI138" s="35" t="s">
        <v>12</v>
      </c>
    </row>
    <row r="140" spans="1:35" ht="15" customHeight="1" x14ac:dyDescent="0.35">
      <c r="A140" s="25"/>
      <c r="B140" s="32" t="s">
        <v>160</v>
      </c>
      <c r="C140" s="25"/>
      <c r="D140" s="25"/>
      <c r="E140" s="25"/>
      <c r="F140" s="25"/>
      <c r="G140" s="25"/>
      <c r="H140" s="25"/>
      <c r="I140" s="25"/>
      <c r="J140" s="25"/>
      <c r="K140" s="25"/>
      <c r="L140" s="25"/>
      <c r="M140" s="25"/>
      <c r="N140" s="25"/>
      <c r="O140" s="25"/>
      <c r="P140" s="25"/>
      <c r="Q140" s="25"/>
      <c r="R140" s="25"/>
      <c r="S140" s="25"/>
      <c r="T140" s="25"/>
      <c r="U140" s="25"/>
      <c r="V140" s="25"/>
      <c r="W140" s="25"/>
      <c r="X140" s="25"/>
      <c r="Y140" s="25"/>
      <c r="Z140" s="25"/>
      <c r="AA140" s="25"/>
      <c r="AB140" s="25"/>
      <c r="AC140" s="25"/>
      <c r="AD140" s="25"/>
      <c r="AE140" s="25"/>
      <c r="AF140" s="25"/>
      <c r="AG140" s="25"/>
      <c r="AH140" s="25"/>
      <c r="AI140" s="25"/>
    </row>
    <row r="141" spans="1:35" ht="15" customHeight="1" x14ac:dyDescent="0.35">
      <c r="A141" s="29" t="s">
        <v>159</v>
      </c>
      <c r="B141" s="33" t="s">
        <v>55</v>
      </c>
      <c r="C141" s="43">
        <v>0</v>
      </c>
      <c r="D141" s="43">
        <v>0</v>
      </c>
      <c r="E141" s="43">
        <v>0</v>
      </c>
      <c r="F141" s="43">
        <v>0</v>
      </c>
      <c r="G141" s="43">
        <v>0</v>
      </c>
      <c r="H141" s="43">
        <v>0</v>
      </c>
      <c r="I141" s="43">
        <v>0</v>
      </c>
      <c r="J141" s="43">
        <v>0</v>
      </c>
      <c r="K141" s="43">
        <v>0</v>
      </c>
      <c r="L141" s="43">
        <v>0</v>
      </c>
      <c r="M141" s="43">
        <v>0</v>
      </c>
      <c r="N141" s="43">
        <v>0</v>
      </c>
      <c r="O141" s="43">
        <v>0</v>
      </c>
      <c r="P141" s="43">
        <v>0</v>
      </c>
      <c r="Q141" s="43">
        <v>0</v>
      </c>
      <c r="R141" s="43">
        <v>0</v>
      </c>
      <c r="S141" s="43">
        <v>0</v>
      </c>
      <c r="T141" s="43">
        <v>0</v>
      </c>
      <c r="U141" s="43">
        <v>0</v>
      </c>
      <c r="V141" s="43">
        <v>0</v>
      </c>
      <c r="W141" s="43">
        <v>0</v>
      </c>
      <c r="X141" s="43">
        <v>0</v>
      </c>
      <c r="Y141" s="43">
        <v>0</v>
      </c>
      <c r="Z141" s="43">
        <v>0</v>
      </c>
      <c r="AA141" s="43">
        <v>0</v>
      </c>
      <c r="AB141" s="43">
        <v>0</v>
      </c>
      <c r="AC141" s="43">
        <v>0</v>
      </c>
      <c r="AD141" s="43">
        <v>0</v>
      </c>
      <c r="AE141" s="43">
        <v>0</v>
      </c>
      <c r="AF141" s="43">
        <v>0</v>
      </c>
      <c r="AG141" s="43">
        <v>0</v>
      </c>
      <c r="AH141" s="43">
        <v>0</v>
      </c>
      <c r="AI141" s="35" t="s">
        <v>12</v>
      </c>
    </row>
    <row r="142" spans="1:35" ht="15" customHeight="1" x14ac:dyDescent="0.35">
      <c r="A142" s="29" t="s">
        <v>158</v>
      </c>
      <c r="B142" s="33" t="s">
        <v>53</v>
      </c>
      <c r="C142" s="43">
        <v>0</v>
      </c>
      <c r="D142" s="43">
        <v>0</v>
      </c>
      <c r="E142" s="43">
        <v>0</v>
      </c>
      <c r="F142" s="43">
        <v>0</v>
      </c>
      <c r="G142" s="43">
        <v>0</v>
      </c>
      <c r="H142" s="43">
        <v>0</v>
      </c>
      <c r="I142" s="43">
        <v>0</v>
      </c>
      <c r="J142" s="43">
        <v>0</v>
      </c>
      <c r="K142" s="43">
        <v>0</v>
      </c>
      <c r="L142" s="43">
        <v>0</v>
      </c>
      <c r="M142" s="43">
        <v>0</v>
      </c>
      <c r="N142" s="43">
        <v>0</v>
      </c>
      <c r="O142" s="43">
        <v>0</v>
      </c>
      <c r="P142" s="43">
        <v>0</v>
      </c>
      <c r="Q142" s="43">
        <v>0</v>
      </c>
      <c r="R142" s="43">
        <v>0</v>
      </c>
      <c r="S142" s="43">
        <v>0</v>
      </c>
      <c r="T142" s="43">
        <v>0</v>
      </c>
      <c r="U142" s="43">
        <v>0</v>
      </c>
      <c r="V142" s="43">
        <v>0</v>
      </c>
      <c r="W142" s="43">
        <v>0</v>
      </c>
      <c r="X142" s="43">
        <v>0</v>
      </c>
      <c r="Y142" s="43">
        <v>0</v>
      </c>
      <c r="Z142" s="43">
        <v>0</v>
      </c>
      <c r="AA142" s="43">
        <v>0</v>
      </c>
      <c r="AB142" s="43">
        <v>0</v>
      </c>
      <c r="AC142" s="43">
        <v>0</v>
      </c>
      <c r="AD142" s="43">
        <v>0</v>
      </c>
      <c r="AE142" s="43">
        <v>0</v>
      </c>
      <c r="AF142" s="43">
        <v>0</v>
      </c>
      <c r="AG142" s="43">
        <v>0</v>
      </c>
      <c r="AH142" s="43">
        <v>0</v>
      </c>
      <c r="AI142" s="35" t="s">
        <v>12</v>
      </c>
    </row>
    <row r="143" spans="1:35" ht="15" customHeight="1" x14ac:dyDescent="0.35">
      <c r="A143" s="29" t="s">
        <v>157</v>
      </c>
      <c r="B143" s="33" t="s">
        <v>51</v>
      </c>
      <c r="C143" s="43">
        <v>0</v>
      </c>
      <c r="D143" s="43">
        <v>0</v>
      </c>
      <c r="E143" s="43">
        <v>0</v>
      </c>
      <c r="F143" s="43">
        <v>0</v>
      </c>
      <c r="G143" s="43">
        <v>0</v>
      </c>
      <c r="H143" s="43">
        <v>0</v>
      </c>
      <c r="I143" s="43">
        <v>0</v>
      </c>
      <c r="J143" s="43">
        <v>0</v>
      </c>
      <c r="K143" s="43">
        <v>0</v>
      </c>
      <c r="L143" s="43">
        <v>0</v>
      </c>
      <c r="M143" s="43">
        <v>0</v>
      </c>
      <c r="N143" s="43">
        <v>0</v>
      </c>
      <c r="O143" s="43">
        <v>0</v>
      </c>
      <c r="P143" s="43">
        <v>0</v>
      </c>
      <c r="Q143" s="43">
        <v>0</v>
      </c>
      <c r="R143" s="43">
        <v>0</v>
      </c>
      <c r="S143" s="43">
        <v>0</v>
      </c>
      <c r="T143" s="43">
        <v>0</v>
      </c>
      <c r="U143" s="43">
        <v>0</v>
      </c>
      <c r="V143" s="43">
        <v>0</v>
      </c>
      <c r="W143" s="43">
        <v>0</v>
      </c>
      <c r="X143" s="43">
        <v>0</v>
      </c>
      <c r="Y143" s="43">
        <v>0</v>
      </c>
      <c r="Z143" s="43">
        <v>0</v>
      </c>
      <c r="AA143" s="43">
        <v>0</v>
      </c>
      <c r="AB143" s="43">
        <v>0</v>
      </c>
      <c r="AC143" s="43">
        <v>0</v>
      </c>
      <c r="AD143" s="43">
        <v>0</v>
      </c>
      <c r="AE143" s="43">
        <v>0</v>
      </c>
      <c r="AF143" s="43">
        <v>0</v>
      </c>
      <c r="AG143" s="43">
        <v>0</v>
      </c>
      <c r="AH143" s="43">
        <v>0</v>
      </c>
      <c r="AI143" s="35" t="s">
        <v>12</v>
      </c>
    </row>
    <row r="144" spans="1:35" ht="15" customHeight="1" x14ac:dyDescent="0.35">
      <c r="A144" s="29" t="s">
        <v>156</v>
      </c>
      <c r="B144" s="33" t="s">
        <v>49</v>
      </c>
      <c r="C144" s="43">
        <v>0</v>
      </c>
      <c r="D144" s="43">
        <v>0</v>
      </c>
      <c r="E144" s="43">
        <v>0</v>
      </c>
      <c r="F144" s="43">
        <v>0</v>
      </c>
      <c r="G144" s="43">
        <v>0</v>
      </c>
      <c r="H144" s="43">
        <v>0</v>
      </c>
      <c r="I144" s="43">
        <v>0</v>
      </c>
      <c r="J144" s="43">
        <v>0</v>
      </c>
      <c r="K144" s="43">
        <v>0</v>
      </c>
      <c r="L144" s="43">
        <v>0</v>
      </c>
      <c r="M144" s="43">
        <v>0</v>
      </c>
      <c r="N144" s="43">
        <v>0</v>
      </c>
      <c r="O144" s="43">
        <v>0</v>
      </c>
      <c r="P144" s="43">
        <v>0</v>
      </c>
      <c r="Q144" s="43">
        <v>0</v>
      </c>
      <c r="R144" s="43">
        <v>0</v>
      </c>
      <c r="S144" s="43">
        <v>0</v>
      </c>
      <c r="T144" s="43">
        <v>0</v>
      </c>
      <c r="U144" s="43">
        <v>0</v>
      </c>
      <c r="V144" s="43">
        <v>0</v>
      </c>
      <c r="W144" s="43">
        <v>0</v>
      </c>
      <c r="X144" s="43">
        <v>0</v>
      </c>
      <c r="Y144" s="43">
        <v>0</v>
      </c>
      <c r="Z144" s="43">
        <v>0</v>
      </c>
      <c r="AA144" s="43">
        <v>0</v>
      </c>
      <c r="AB144" s="43">
        <v>0</v>
      </c>
      <c r="AC144" s="43">
        <v>0</v>
      </c>
      <c r="AD144" s="43">
        <v>0</v>
      </c>
      <c r="AE144" s="43">
        <v>0</v>
      </c>
      <c r="AF144" s="43">
        <v>0</v>
      </c>
      <c r="AG144" s="43">
        <v>0</v>
      </c>
      <c r="AH144" s="43">
        <v>0</v>
      </c>
      <c r="AI144" s="35" t="s">
        <v>12</v>
      </c>
    </row>
    <row r="145" spans="1:35" ht="15" customHeight="1" x14ac:dyDescent="0.35">
      <c r="A145" s="29" t="s">
        <v>155</v>
      </c>
      <c r="B145" s="33" t="s">
        <v>47</v>
      </c>
      <c r="C145" s="43">
        <v>41.520882</v>
      </c>
      <c r="D145" s="43">
        <v>41.975788000000001</v>
      </c>
      <c r="E145" s="43">
        <v>42.345492999999998</v>
      </c>
      <c r="F145" s="43">
        <v>42.681530000000002</v>
      </c>
      <c r="G145" s="43">
        <v>42.943767999999999</v>
      </c>
      <c r="H145" s="43">
        <v>43.151862999999999</v>
      </c>
      <c r="I145" s="43">
        <v>43.654713000000001</v>
      </c>
      <c r="J145" s="43">
        <v>43.769272000000001</v>
      </c>
      <c r="K145" s="43">
        <v>43.869475999999999</v>
      </c>
      <c r="L145" s="43">
        <v>43.972693999999997</v>
      </c>
      <c r="M145" s="43">
        <v>44.075099999999999</v>
      </c>
      <c r="N145" s="43">
        <v>44.172085000000003</v>
      </c>
      <c r="O145" s="43">
        <v>44.275371999999997</v>
      </c>
      <c r="P145" s="43">
        <v>44.378677000000003</v>
      </c>
      <c r="Q145" s="43">
        <v>44.478081000000003</v>
      </c>
      <c r="R145" s="43">
        <v>44.514088000000001</v>
      </c>
      <c r="S145" s="43">
        <v>44.539619000000002</v>
      </c>
      <c r="T145" s="43">
        <v>44.564388000000001</v>
      </c>
      <c r="U145" s="43">
        <v>44.591137000000003</v>
      </c>
      <c r="V145" s="43">
        <v>44.614964000000001</v>
      </c>
      <c r="W145" s="43">
        <v>44.638184000000003</v>
      </c>
      <c r="X145" s="43">
        <v>44.664520000000003</v>
      </c>
      <c r="Y145" s="43">
        <v>44.689017999999997</v>
      </c>
      <c r="Z145" s="43">
        <v>44.711205</v>
      </c>
      <c r="AA145" s="43">
        <v>44.735722000000003</v>
      </c>
      <c r="AB145" s="43">
        <v>44.759987000000002</v>
      </c>
      <c r="AC145" s="43">
        <v>44.783211000000001</v>
      </c>
      <c r="AD145" s="43">
        <v>44.809230999999997</v>
      </c>
      <c r="AE145" s="43">
        <v>44.830891000000001</v>
      </c>
      <c r="AF145" s="43">
        <v>44.853737000000002</v>
      </c>
      <c r="AG145" s="43">
        <v>44.876975999999999</v>
      </c>
      <c r="AH145" s="43">
        <v>44.894176000000002</v>
      </c>
      <c r="AI145" s="35">
        <v>2.5230000000000001E-3</v>
      </c>
    </row>
    <row r="146" spans="1:35" ht="15" customHeight="1" x14ac:dyDescent="0.35">
      <c r="A146" s="29" t="s">
        <v>154</v>
      </c>
      <c r="B146" s="33" t="s">
        <v>45</v>
      </c>
      <c r="C146" s="43">
        <v>0</v>
      </c>
      <c r="D146" s="43">
        <v>0</v>
      </c>
      <c r="E146" s="43">
        <v>0</v>
      </c>
      <c r="F146" s="43">
        <v>0</v>
      </c>
      <c r="G146" s="43">
        <v>0</v>
      </c>
      <c r="H146" s="43">
        <v>0</v>
      </c>
      <c r="I146" s="43">
        <v>0</v>
      </c>
      <c r="J146" s="43">
        <v>0</v>
      </c>
      <c r="K146" s="43">
        <v>0</v>
      </c>
      <c r="L146" s="43">
        <v>0</v>
      </c>
      <c r="M146" s="43">
        <v>0</v>
      </c>
      <c r="N146" s="43">
        <v>0</v>
      </c>
      <c r="O146" s="43">
        <v>0</v>
      </c>
      <c r="P146" s="43">
        <v>0</v>
      </c>
      <c r="Q146" s="43">
        <v>0</v>
      </c>
      <c r="R146" s="43">
        <v>0</v>
      </c>
      <c r="S146" s="43">
        <v>0</v>
      </c>
      <c r="T146" s="43">
        <v>0</v>
      </c>
      <c r="U146" s="43">
        <v>0</v>
      </c>
      <c r="V146" s="43">
        <v>0</v>
      </c>
      <c r="W146" s="43">
        <v>0</v>
      </c>
      <c r="X146" s="43">
        <v>0</v>
      </c>
      <c r="Y146" s="43">
        <v>0</v>
      </c>
      <c r="Z146" s="43">
        <v>0</v>
      </c>
      <c r="AA146" s="43">
        <v>0</v>
      </c>
      <c r="AB146" s="43">
        <v>0</v>
      </c>
      <c r="AC146" s="43">
        <v>0</v>
      </c>
      <c r="AD146" s="43">
        <v>0</v>
      </c>
      <c r="AE146" s="43">
        <v>0</v>
      </c>
      <c r="AF146" s="43">
        <v>0</v>
      </c>
      <c r="AG146" s="43">
        <v>0</v>
      </c>
      <c r="AH146" s="43">
        <v>0</v>
      </c>
      <c r="AI146" s="35" t="s">
        <v>12</v>
      </c>
    </row>
    <row r="147" spans="1:35" ht="15" customHeight="1" x14ac:dyDescent="0.35">
      <c r="A147" s="29" t="s">
        <v>676</v>
      </c>
      <c r="B147" s="33" t="s">
        <v>556</v>
      </c>
      <c r="C147" s="43">
        <v>0</v>
      </c>
      <c r="D147" s="43">
        <v>0</v>
      </c>
      <c r="E147" s="43">
        <v>0</v>
      </c>
      <c r="F147" s="43">
        <v>0</v>
      </c>
      <c r="G147" s="43">
        <v>0</v>
      </c>
      <c r="H147" s="43">
        <v>0</v>
      </c>
      <c r="I147" s="43">
        <v>0</v>
      </c>
      <c r="J147" s="43">
        <v>0</v>
      </c>
      <c r="K147" s="43">
        <v>0</v>
      </c>
      <c r="L147" s="43">
        <v>0</v>
      </c>
      <c r="M147" s="43">
        <v>0</v>
      </c>
      <c r="N147" s="43">
        <v>0</v>
      </c>
      <c r="O147" s="43">
        <v>0</v>
      </c>
      <c r="P147" s="43">
        <v>0</v>
      </c>
      <c r="Q147" s="43">
        <v>0</v>
      </c>
      <c r="R147" s="43">
        <v>0</v>
      </c>
      <c r="S147" s="43">
        <v>0</v>
      </c>
      <c r="T147" s="43">
        <v>0</v>
      </c>
      <c r="U147" s="43">
        <v>0</v>
      </c>
      <c r="V147" s="43">
        <v>0</v>
      </c>
      <c r="W147" s="43">
        <v>0</v>
      </c>
      <c r="X147" s="43">
        <v>0</v>
      </c>
      <c r="Y147" s="43">
        <v>0</v>
      </c>
      <c r="Z147" s="43">
        <v>0</v>
      </c>
      <c r="AA147" s="43">
        <v>0</v>
      </c>
      <c r="AB147" s="43">
        <v>0</v>
      </c>
      <c r="AC147" s="43">
        <v>0</v>
      </c>
      <c r="AD147" s="43">
        <v>0</v>
      </c>
      <c r="AE147" s="43">
        <v>0</v>
      </c>
      <c r="AF147" s="43">
        <v>0</v>
      </c>
      <c r="AG147" s="43">
        <v>0</v>
      </c>
      <c r="AH147" s="43">
        <v>0</v>
      </c>
      <c r="AI147" s="35" t="s">
        <v>12</v>
      </c>
    </row>
    <row r="148" spans="1:35" ht="15" customHeight="1" x14ac:dyDescent="0.35">
      <c r="A148" s="29" t="s">
        <v>677</v>
      </c>
      <c r="B148" s="33" t="s">
        <v>557</v>
      </c>
      <c r="C148" s="43">
        <v>0</v>
      </c>
      <c r="D148" s="43">
        <v>0</v>
      </c>
      <c r="E148" s="43">
        <v>0</v>
      </c>
      <c r="F148" s="43">
        <v>0</v>
      </c>
      <c r="G148" s="43">
        <v>0</v>
      </c>
      <c r="H148" s="43">
        <v>0</v>
      </c>
      <c r="I148" s="43">
        <v>0</v>
      </c>
      <c r="J148" s="43">
        <v>0</v>
      </c>
      <c r="K148" s="43">
        <v>0</v>
      </c>
      <c r="L148" s="43">
        <v>0</v>
      </c>
      <c r="M148" s="43">
        <v>0</v>
      </c>
      <c r="N148" s="43">
        <v>0</v>
      </c>
      <c r="O148" s="43">
        <v>0</v>
      </c>
      <c r="P148" s="43">
        <v>0</v>
      </c>
      <c r="Q148" s="43">
        <v>0</v>
      </c>
      <c r="R148" s="43">
        <v>0</v>
      </c>
      <c r="S148" s="43">
        <v>0</v>
      </c>
      <c r="T148" s="43">
        <v>0</v>
      </c>
      <c r="U148" s="43">
        <v>0</v>
      </c>
      <c r="V148" s="43">
        <v>0</v>
      </c>
      <c r="W148" s="43">
        <v>0</v>
      </c>
      <c r="X148" s="43">
        <v>0</v>
      </c>
      <c r="Y148" s="43">
        <v>0</v>
      </c>
      <c r="Z148" s="43">
        <v>0</v>
      </c>
      <c r="AA148" s="43">
        <v>0</v>
      </c>
      <c r="AB148" s="43">
        <v>0</v>
      </c>
      <c r="AC148" s="43">
        <v>0</v>
      </c>
      <c r="AD148" s="43">
        <v>0</v>
      </c>
      <c r="AE148" s="43">
        <v>0</v>
      </c>
      <c r="AF148" s="43">
        <v>0</v>
      </c>
      <c r="AG148" s="43">
        <v>0</v>
      </c>
      <c r="AH148" s="43">
        <v>0</v>
      </c>
      <c r="AI148" s="35" t="s">
        <v>12</v>
      </c>
    </row>
    <row r="149" spans="1:35" ht="15" customHeight="1" x14ac:dyDescent="0.35">
      <c r="A149" s="29" t="s">
        <v>153</v>
      </c>
      <c r="B149" s="33" t="s">
        <v>43</v>
      </c>
      <c r="C149" s="43">
        <v>0</v>
      </c>
      <c r="D149" s="43">
        <v>0</v>
      </c>
      <c r="E149" s="43">
        <v>0</v>
      </c>
      <c r="F149" s="43">
        <v>0</v>
      </c>
      <c r="G149" s="43">
        <v>0</v>
      </c>
      <c r="H149" s="43">
        <v>0</v>
      </c>
      <c r="I149" s="43">
        <v>0</v>
      </c>
      <c r="J149" s="43">
        <v>0</v>
      </c>
      <c r="K149" s="43">
        <v>0</v>
      </c>
      <c r="L149" s="43">
        <v>0</v>
      </c>
      <c r="M149" s="43">
        <v>0</v>
      </c>
      <c r="N149" s="43">
        <v>0</v>
      </c>
      <c r="O149" s="43">
        <v>0</v>
      </c>
      <c r="P149" s="43">
        <v>0</v>
      </c>
      <c r="Q149" s="43">
        <v>0</v>
      </c>
      <c r="R149" s="43">
        <v>0</v>
      </c>
      <c r="S149" s="43">
        <v>0</v>
      </c>
      <c r="T149" s="43">
        <v>0</v>
      </c>
      <c r="U149" s="43">
        <v>0</v>
      </c>
      <c r="V149" s="43">
        <v>0</v>
      </c>
      <c r="W149" s="43">
        <v>0</v>
      </c>
      <c r="X149" s="43">
        <v>0</v>
      </c>
      <c r="Y149" s="43">
        <v>0</v>
      </c>
      <c r="Z149" s="43">
        <v>0</v>
      </c>
      <c r="AA149" s="43">
        <v>0</v>
      </c>
      <c r="AB149" s="43">
        <v>0</v>
      </c>
      <c r="AC149" s="43">
        <v>0</v>
      </c>
      <c r="AD149" s="43">
        <v>0</v>
      </c>
      <c r="AE149" s="43">
        <v>0</v>
      </c>
      <c r="AF149" s="43">
        <v>0</v>
      </c>
      <c r="AG149" s="43">
        <v>0</v>
      </c>
      <c r="AH149" s="43">
        <v>0</v>
      </c>
      <c r="AI149" s="35" t="s">
        <v>12</v>
      </c>
    </row>
    <row r="150" spans="1:35" ht="15" customHeight="1" x14ac:dyDescent="0.35">
      <c r="A150" s="29" t="s">
        <v>152</v>
      </c>
      <c r="B150" s="33" t="s">
        <v>41</v>
      </c>
      <c r="C150" s="43">
        <v>47.650993</v>
      </c>
      <c r="D150" s="43">
        <v>48.157158000000003</v>
      </c>
      <c r="E150" s="43">
        <v>48.505352000000002</v>
      </c>
      <c r="F150" s="43">
        <v>48.771652000000003</v>
      </c>
      <c r="G150" s="43">
        <v>49.022418999999999</v>
      </c>
      <c r="H150" s="43">
        <v>49.472973000000003</v>
      </c>
      <c r="I150" s="43">
        <v>49.906714999999998</v>
      </c>
      <c r="J150" s="43">
        <v>50.001156000000002</v>
      </c>
      <c r="K150" s="43">
        <v>50.095149999999997</v>
      </c>
      <c r="L150" s="43">
        <v>50.190902999999999</v>
      </c>
      <c r="M150" s="43">
        <v>50.286205000000002</v>
      </c>
      <c r="N150" s="43">
        <v>50.378326000000001</v>
      </c>
      <c r="O150" s="43">
        <v>50.474227999999997</v>
      </c>
      <c r="P150" s="43">
        <v>50.570065</v>
      </c>
      <c r="Q150" s="43">
        <v>50.663902</v>
      </c>
      <c r="R150" s="43">
        <v>50.694007999999997</v>
      </c>
      <c r="S150" s="43">
        <v>50.712119999999999</v>
      </c>
      <c r="T150" s="43">
        <v>50.729218000000003</v>
      </c>
      <c r="U150" s="43">
        <v>50.748756</v>
      </c>
      <c r="V150" s="43">
        <v>50.766922000000001</v>
      </c>
      <c r="W150" s="43">
        <v>50.785110000000003</v>
      </c>
      <c r="X150" s="43">
        <v>50.805737000000001</v>
      </c>
      <c r="Y150" s="43">
        <v>50.825271999999998</v>
      </c>
      <c r="Z150" s="43">
        <v>50.843291999999998</v>
      </c>
      <c r="AA150" s="43">
        <v>50.863140000000001</v>
      </c>
      <c r="AB150" s="43">
        <v>50.882995999999999</v>
      </c>
      <c r="AC150" s="43">
        <v>50.902369999999998</v>
      </c>
      <c r="AD150" s="43">
        <v>50.924056999999998</v>
      </c>
      <c r="AE150" s="43">
        <v>50.942520000000002</v>
      </c>
      <c r="AF150" s="43">
        <v>50.962283999999997</v>
      </c>
      <c r="AG150" s="43">
        <v>50.982306999999999</v>
      </c>
      <c r="AH150" s="43">
        <v>50.996493999999998</v>
      </c>
      <c r="AI150" s="35">
        <v>2.1909999999999998E-3</v>
      </c>
    </row>
    <row r="151" spans="1:35" ht="15" customHeight="1" x14ac:dyDescent="0.35">
      <c r="A151" s="29" t="s">
        <v>151</v>
      </c>
      <c r="B151" s="33" t="s">
        <v>39</v>
      </c>
      <c r="C151" s="43">
        <v>0</v>
      </c>
      <c r="D151" s="43">
        <v>0</v>
      </c>
      <c r="E151" s="43">
        <v>0</v>
      </c>
      <c r="F151" s="43">
        <v>0</v>
      </c>
      <c r="G151" s="43">
        <v>0</v>
      </c>
      <c r="H151" s="43">
        <v>0</v>
      </c>
      <c r="I151" s="43">
        <v>0</v>
      </c>
      <c r="J151" s="43">
        <v>0</v>
      </c>
      <c r="K151" s="43">
        <v>0</v>
      </c>
      <c r="L151" s="43">
        <v>0</v>
      </c>
      <c r="M151" s="43">
        <v>0</v>
      </c>
      <c r="N151" s="43">
        <v>0</v>
      </c>
      <c r="O151" s="43">
        <v>0</v>
      </c>
      <c r="P151" s="43">
        <v>0</v>
      </c>
      <c r="Q151" s="43">
        <v>0</v>
      </c>
      <c r="R151" s="43">
        <v>0</v>
      </c>
      <c r="S151" s="43">
        <v>0</v>
      </c>
      <c r="T151" s="43">
        <v>0</v>
      </c>
      <c r="U151" s="43">
        <v>0</v>
      </c>
      <c r="V151" s="43">
        <v>0</v>
      </c>
      <c r="W151" s="43">
        <v>0</v>
      </c>
      <c r="X151" s="43">
        <v>0</v>
      </c>
      <c r="Y151" s="43">
        <v>0</v>
      </c>
      <c r="Z151" s="43">
        <v>0</v>
      </c>
      <c r="AA151" s="43">
        <v>0</v>
      </c>
      <c r="AB151" s="43">
        <v>0</v>
      </c>
      <c r="AC151" s="43">
        <v>0</v>
      </c>
      <c r="AD151" s="43">
        <v>0</v>
      </c>
      <c r="AE151" s="43">
        <v>0</v>
      </c>
      <c r="AF151" s="43">
        <v>0</v>
      </c>
      <c r="AG151" s="43">
        <v>0</v>
      </c>
      <c r="AH151" s="43">
        <v>0</v>
      </c>
      <c r="AI151" s="35" t="s">
        <v>12</v>
      </c>
    </row>
    <row r="152" spans="1:35" ht="15" customHeight="1" x14ac:dyDescent="0.35">
      <c r="A152" s="29" t="s">
        <v>150</v>
      </c>
      <c r="B152" s="33" t="s">
        <v>37</v>
      </c>
      <c r="C152" s="43">
        <v>40.686962000000001</v>
      </c>
      <c r="D152" s="43">
        <v>41.305660000000003</v>
      </c>
      <c r="E152" s="43">
        <v>41.883552999999999</v>
      </c>
      <c r="F152" s="43">
        <v>42.393783999999997</v>
      </c>
      <c r="G152" s="43">
        <v>42.880671999999997</v>
      </c>
      <c r="H152" s="43">
        <v>43.369228</v>
      </c>
      <c r="I152" s="43">
        <v>43.620964000000001</v>
      </c>
      <c r="J152" s="43">
        <v>43.711159000000002</v>
      </c>
      <c r="K152" s="43">
        <v>43.800930000000001</v>
      </c>
      <c r="L152" s="43">
        <v>43.891632000000001</v>
      </c>
      <c r="M152" s="43">
        <v>43.981991000000001</v>
      </c>
      <c r="N152" s="43">
        <v>44.070498999999998</v>
      </c>
      <c r="O152" s="43">
        <v>44.161105999999997</v>
      </c>
      <c r="P152" s="43">
        <v>44.251750999999999</v>
      </c>
      <c r="Q152" s="43">
        <v>44.341152000000001</v>
      </c>
      <c r="R152" s="43">
        <v>44.366554000000001</v>
      </c>
      <c r="S152" s="43">
        <v>44.379207999999998</v>
      </c>
      <c r="T152" s="43">
        <v>44.392014000000003</v>
      </c>
      <c r="U152" s="43">
        <v>44.406478999999997</v>
      </c>
      <c r="V152" s="43">
        <v>44.420155000000001</v>
      </c>
      <c r="W152" s="43">
        <v>44.433745999999999</v>
      </c>
      <c r="X152" s="43">
        <v>44.449097000000002</v>
      </c>
      <c r="Y152" s="43">
        <v>44.463898</v>
      </c>
      <c r="Z152" s="43">
        <v>44.477760000000004</v>
      </c>
      <c r="AA152" s="43">
        <v>44.493000000000002</v>
      </c>
      <c r="AB152" s="43">
        <v>44.508308</v>
      </c>
      <c r="AC152" s="43">
        <v>44.523186000000003</v>
      </c>
      <c r="AD152" s="43">
        <v>44.539959000000003</v>
      </c>
      <c r="AE152" s="43">
        <v>44.554611000000001</v>
      </c>
      <c r="AF152" s="43">
        <v>44.570107</v>
      </c>
      <c r="AG152" s="43">
        <v>44.586024999999999</v>
      </c>
      <c r="AH152" s="43">
        <v>44.596026999999999</v>
      </c>
      <c r="AI152" s="35">
        <v>2.9640000000000001E-3</v>
      </c>
    </row>
    <row r="153" spans="1:35" ht="15" customHeight="1" x14ac:dyDescent="0.35">
      <c r="A153" s="29" t="s">
        <v>149</v>
      </c>
      <c r="B153" s="33" t="s">
        <v>35</v>
      </c>
      <c r="C153" s="43">
        <v>0</v>
      </c>
      <c r="D153" s="43">
        <v>0</v>
      </c>
      <c r="E153" s="43">
        <v>0</v>
      </c>
      <c r="F153" s="43">
        <v>0</v>
      </c>
      <c r="G153" s="43">
        <v>0</v>
      </c>
      <c r="H153" s="43">
        <v>0</v>
      </c>
      <c r="I153" s="43">
        <v>0</v>
      </c>
      <c r="J153" s="43">
        <v>0</v>
      </c>
      <c r="K153" s="43">
        <v>0</v>
      </c>
      <c r="L153" s="43">
        <v>0</v>
      </c>
      <c r="M153" s="43">
        <v>0</v>
      </c>
      <c r="N153" s="43">
        <v>0</v>
      </c>
      <c r="O153" s="43">
        <v>0</v>
      </c>
      <c r="P153" s="43">
        <v>0</v>
      </c>
      <c r="Q153" s="43">
        <v>0</v>
      </c>
      <c r="R153" s="43">
        <v>0</v>
      </c>
      <c r="S153" s="43">
        <v>0</v>
      </c>
      <c r="T153" s="43">
        <v>0</v>
      </c>
      <c r="U153" s="43">
        <v>0</v>
      </c>
      <c r="V153" s="43">
        <v>0</v>
      </c>
      <c r="W153" s="43">
        <v>0</v>
      </c>
      <c r="X153" s="43">
        <v>0</v>
      </c>
      <c r="Y153" s="43">
        <v>0</v>
      </c>
      <c r="Z153" s="43">
        <v>0</v>
      </c>
      <c r="AA153" s="43">
        <v>0</v>
      </c>
      <c r="AB153" s="43">
        <v>0</v>
      </c>
      <c r="AC153" s="43">
        <v>0</v>
      </c>
      <c r="AD153" s="43">
        <v>0</v>
      </c>
      <c r="AE153" s="43">
        <v>0</v>
      </c>
      <c r="AF153" s="43">
        <v>0</v>
      </c>
      <c r="AG153" s="43">
        <v>0</v>
      </c>
      <c r="AH153" s="43">
        <v>0</v>
      </c>
      <c r="AI153" s="35" t="s">
        <v>12</v>
      </c>
    </row>
    <row r="154" spans="1:35" ht="15" customHeight="1" x14ac:dyDescent="0.35">
      <c r="A154" s="29" t="s">
        <v>148</v>
      </c>
      <c r="B154" s="33" t="s">
        <v>33</v>
      </c>
      <c r="C154" s="43">
        <v>0</v>
      </c>
      <c r="D154" s="43">
        <v>0</v>
      </c>
      <c r="E154" s="43">
        <v>0</v>
      </c>
      <c r="F154" s="43">
        <v>0</v>
      </c>
      <c r="G154" s="43">
        <v>0</v>
      </c>
      <c r="H154" s="43">
        <v>0</v>
      </c>
      <c r="I154" s="43">
        <v>0</v>
      </c>
      <c r="J154" s="43">
        <v>0</v>
      </c>
      <c r="K154" s="43">
        <v>0</v>
      </c>
      <c r="L154" s="43">
        <v>0</v>
      </c>
      <c r="M154" s="43">
        <v>0</v>
      </c>
      <c r="N154" s="43">
        <v>0</v>
      </c>
      <c r="O154" s="43">
        <v>0</v>
      </c>
      <c r="P154" s="43">
        <v>0</v>
      </c>
      <c r="Q154" s="43">
        <v>0</v>
      </c>
      <c r="R154" s="43">
        <v>0</v>
      </c>
      <c r="S154" s="43">
        <v>0</v>
      </c>
      <c r="T154" s="43">
        <v>0</v>
      </c>
      <c r="U154" s="43">
        <v>0</v>
      </c>
      <c r="V154" s="43">
        <v>0</v>
      </c>
      <c r="W154" s="43">
        <v>0</v>
      </c>
      <c r="X154" s="43">
        <v>0</v>
      </c>
      <c r="Y154" s="43">
        <v>0</v>
      </c>
      <c r="Z154" s="43">
        <v>0</v>
      </c>
      <c r="AA154" s="43">
        <v>0</v>
      </c>
      <c r="AB154" s="43">
        <v>0</v>
      </c>
      <c r="AC154" s="43">
        <v>0</v>
      </c>
      <c r="AD154" s="43">
        <v>0</v>
      </c>
      <c r="AE154" s="43">
        <v>0</v>
      </c>
      <c r="AF154" s="43">
        <v>0</v>
      </c>
      <c r="AG154" s="43">
        <v>0</v>
      </c>
      <c r="AH154" s="43">
        <v>0</v>
      </c>
      <c r="AI154" s="35" t="s">
        <v>12</v>
      </c>
    </row>
    <row r="155" spans="1:35" ht="15" customHeight="1" x14ac:dyDescent="0.35">
      <c r="A155" s="29" t="s">
        <v>678</v>
      </c>
      <c r="B155" s="33" t="s">
        <v>558</v>
      </c>
      <c r="C155" s="43">
        <v>0</v>
      </c>
      <c r="D155" s="43">
        <v>0</v>
      </c>
      <c r="E155" s="43">
        <v>0</v>
      </c>
      <c r="F155" s="43">
        <v>0</v>
      </c>
      <c r="G155" s="43">
        <v>0</v>
      </c>
      <c r="H155" s="43">
        <v>0</v>
      </c>
      <c r="I155" s="43">
        <v>0</v>
      </c>
      <c r="J155" s="43">
        <v>0</v>
      </c>
      <c r="K155" s="43">
        <v>0</v>
      </c>
      <c r="L155" s="43">
        <v>0</v>
      </c>
      <c r="M155" s="43">
        <v>0</v>
      </c>
      <c r="N155" s="43">
        <v>0</v>
      </c>
      <c r="O155" s="43">
        <v>0</v>
      </c>
      <c r="P155" s="43">
        <v>0</v>
      </c>
      <c r="Q155" s="43">
        <v>0</v>
      </c>
      <c r="R155" s="43">
        <v>0</v>
      </c>
      <c r="S155" s="43">
        <v>0</v>
      </c>
      <c r="T155" s="43">
        <v>0</v>
      </c>
      <c r="U155" s="43">
        <v>0</v>
      </c>
      <c r="V155" s="43">
        <v>0</v>
      </c>
      <c r="W155" s="43">
        <v>0</v>
      </c>
      <c r="X155" s="43">
        <v>0</v>
      </c>
      <c r="Y155" s="43">
        <v>0</v>
      </c>
      <c r="Z155" s="43">
        <v>0</v>
      </c>
      <c r="AA155" s="43">
        <v>0</v>
      </c>
      <c r="AB155" s="43">
        <v>0</v>
      </c>
      <c r="AC155" s="43">
        <v>0</v>
      </c>
      <c r="AD155" s="43">
        <v>0</v>
      </c>
      <c r="AE155" s="43">
        <v>0</v>
      </c>
      <c r="AF155" s="43">
        <v>0</v>
      </c>
      <c r="AG155" s="43">
        <v>0</v>
      </c>
      <c r="AH155" s="43">
        <v>0</v>
      </c>
      <c r="AI155" s="35" t="s">
        <v>12</v>
      </c>
    </row>
    <row r="156" spans="1:35" ht="15" customHeight="1" x14ac:dyDescent="0.35">
      <c r="A156" s="29" t="s">
        <v>679</v>
      </c>
      <c r="B156" s="33" t="s">
        <v>559</v>
      </c>
      <c r="C156" s="43">
        <v>0</v>
      </c>
      <c r="D156" s="43">
        <v>0</v>
      </c>
      <c r="E156" s="43">
        <v>0</v>
      </c>
      <c r="F156" s="43">
        <v>0</v>
      </c>
      <c r="G156" s="43">
        <v>0</v>
      </c>
      <c r="H156" s="43">
        <v>0</v>
      </c>
      <c r="I156" s="43">
        <v>0</v>
      </c>
      <c r="J156" s="43">
        <v>0</v>
      </c>
      <c r="K156" s="43">
        <v>0</v>
      </c>
      <c r="L156" s="43">
        <v>0</v>
      </c>
      <c r="M156" s="43">
        <v>0</v>
      </c>
      <c r="N156" s="43">
        <v>0</v>
      </c>
      <c r="O156" s="43">
        <v>0</v>
      </c>
      <c r="P156" s="43">
        <v>0</v>
      </c>
      <c r="Q156" s="43">
        <v>0</v>
      </c>
      <c r="R156" s="43">
        <v>0</v>
      </c>
      <c r="S156" s="43">
        <v>0</v>
      </c>
      <c r="T156" s="43">
        <v>0</v>
      </c>
      <c r="U156" s="43">
        <v>0</v>
      </c>
      <c r="V156" s="43">
        <v>0</v>
      </c>
      <c r="W156" s="43">
        <v>0</v>
      </c>
      <c r="X156" s="43">
        <v>0</v>
      </c>
      <c r="Y156" s="43">
        <v>0</v>
      </c>
      <c r="Z156" s="43">
        <v>0</v>
      </c>
      <c r="AA156" s="43">
        <v>0</v>
      </c>
      <c r="AB156" s="43">
        <v>0</v>
      </c>
      <c r="AC156" s="43">
        <v>0</v>
      </c>
      <c r="AD156" s="43">
        <v>0</v>
      </c>
      <c r="AE156" s="43">
        <v>0</v>
      </c>
      <c r="AF156" s="43">
        <v>0</v>
      </c>
      <c r="AG156" s="43">
        <v>0</v>
      </c>
      <c r="AH156" s="43">
        <v>0</v>
      </c>
      <c r="AI156" s="35" t="s">
        <v>12</v>
      </c>
    </row>
    <row r="157" spans="1:35" ht="15" customHeight="1" x14ac:dyDescent="0.35">
      <c r="A157" s="25"/>
      <c r="B157" s="32" t="s">
        <v>147</v>
      </c>
      <c r="C157" s="25"/>
      <c r="D157" s="25"/>
      <c r="E157" s="25"/>
      <c r="F157" s="25"/>
      <c r="G157" s="25"/>
      <c r="H157" s="25"/>
      <c r="I157" s="25"/>
      <c r="J157" s="25"/>
      <c r="K157" s="25"/>
      <c r="L157" s="25"/>
      <c r="M157" s="25"/>
      <c r="N157" s="25"/>
      <c r="O157" s="25"/>
      <c r="P157" s="25"/>
      <c r="Q157" s="25"/>
      <c r="R157" s="25"/>
      <c r="S157" s="25"/>
      <c r="T157" s="25"/>
      <c r="U157" s="25"/>
      <c r="V157" s="25"/>
      <c r="W157" s="25"/>
      <c r="X157" s="25"/>
      <c r="Y157" s="25"/>
      <c r="Z157" s="25"/>
      <c r="AA157" s="25"/>
      <c r="AB157" s="25"/>
      <c r="AC157" s="25"/>
      <c r="AD157" s="25"/>
      <c r="AE157" s="25"/>
      <c r="AF157" s="25"/>
      <c r="AG157" s="25"/>
      <c r="AH157" s="25"/>
      <c r="AI157" s="25"/>
    </row>
    <row r="158" spans="1:35" ht="15" customHeight="1" x14ac:dyDescent="0.35">
      <c r="A158" s="29" t="s">
        <v>146</v>
      </c>
      <c r="B158" s="33" t="s">
        <v>55</v>
      </c>
      <c r="C158" s="43">
        <v>0</v>
      </c>
      <c r="D158" s="43">
        <v>0</v>
      </c>
      <c r="E158" s="43">
        <v>0</v>
      </c>
      <c r="F158" s="43">
        <v>0</v>
      </c>
      <c r="G158" s="43">
        <v>0</v>
      </c>
      <c r="H158" s="43">
        <v>0</v>
      </c>
      <c r="I158" s="43">
        <v>0</v>
      </c>
      <c r="J158" s="43">
        <v>0</v>
      </c>
      <c r="K158" s="43">
        <v>0</v>
      </c>
      <c r="L158" s="43">
        <v>0</v>
      </c>
      <c r="M158" s="43">
        <v>0</v>
      </c>
      <c r="N158" s="43">
        <v>0</v>
      </c>
      <c r="O158" s="43">
        <v>0</v>
      </c>
      <c r="P158" s="43">
        <v>0</v>
      </c>
      <c r="Q158" s="43">
        <v>0</v>
      </c>
      <c r="R158" s="43">
        <v>0</v>
      </c>
      <c r="S158" s="43">
        <v>0</v>
      </c>
      <c r="T158" s="43">
        <v>0</v>
      </c>
      <c r="U158" s="43">
        <v>0</v>
      </c>
      <c r="V158" s="43">
        <v>0</v>
      </c>
      <c r="W158" s="43">
        <v>0</v>
      </c>
      <c r="X158" s="43">
        <v>0</v>
      </c>
      <c r="Y158" s="43">
        <v>0</v>
      </c>
      <c r="Z158" s="43">
        <v>0</v>
      </c>
      <c r="AA158" s="43">
        <v>0</v>
      </c>
      <c r="AB158" s="43">
        <v>0</v>
      </c>
      <c r="AC158" s="43">
        <v>0</v>
      </c>
      <c r="AD158" s="43">
        <v>0</v>
      </c>
      <c r="AE158" s="43">
        <v>0</v>
      </c>
      <c r="AF158" s="43">
        <v>0</v>
      </c>
      <c r="AG158" s="43">
        <v>0</v>
      </c>
      <c r="AH158" s="43">
        <v>0</v>
      </c>
      <c r="AI158" s="35" t="s">
        <v>12</v>
      </c>
    </row>
    <row r="159" spans="1:35" ht="15" customHeight="1" x14ac:dyDescent="0.35">
      <c r="A159" s="29" t="s">
        <v>145</v>
      </c>
      <c r="B159" s="33" t="s">
        <v>53</v>
      </c>
      <c r="C159" s="43">
        <v>0</v>
      </c>
      <c r="D159" s="43">
        <v>0</v>
      </c>
      <c r="E159" s="43">
        <v>0</v>
      </c>
      <c r="F159" s="43">
        <v>0</v>
      </c>
      <c r="G159" s="43">
        <v>0</v>
      </c>
      <c r="H159" s="43">
        <v>0</v>
      </c>
      <c r="I159" s="43">
        <v>0</v>
      </c>
      <c r="J159" s="43">
        <v>0</v>
      </c>
      <c r="K159" s="43">
        <v>0</v>
      </c>
      <c r="L159" s="43">
        <v>0</v>
      </c>
      <c r="M159" s="43">
        <v>0</v>
      </c>
      <c r="N159" s="43">
        <v>0</v>
      </c>
      <c r="O159" s="43">
        <v>0</v>
      </c>
      <c r="P159" s="43">
        <v>0</v>
      </c>
      <c r="Q159" s="43">
        <v>0</v>
      </c>
      <c r="R159" s="43">
        <v>0</v>
      </c>
      <c r="S159" s="43">
        <v>0</v>
      </c>
      <c r="T159" s="43">
        <v>0</v>
      </c>
      <c r="U159" s="43">
        <v>0</v>
      </c>
      <c r="V159" s="43">
        <v>0</v>
      </c>
      <c r="W159" s="43">
        <v>0</v>
      </c>
      <c r="X159" s="43">
        <v>0</v>
      </c>
      <c r="Y159" s="43">
        <v>0</v>
      </c>
      <c r="Z159" s="43">
        <v>0</v>
      </c>
      <c r="AA159" s="43">
        <v>0</v>
      </c>
      <c r="AB159" s="43">
        <v>0</v>
      </c>
      <c r="AC159" s="43">
        <v>0</v>
      </c>
      <c r="AD159" s="43">
        <v>0</v>
      </c>
      <c r="AE159" s="43">
        <v>0</v>
      </c>
      <c r="AF159" s="43">
        <v>0</v>
      </c>
      <c r="AG159" s="43">
        <v>0</v>
      </c>
      <c r="AH159" s="43">
        <v>0</v>
      </c>
      <c r="AI159" s="35" t="s">
        <v>12</v>
      </c>
    </row>
    <row r="160" spans="1:35" ht="15" customHeight="1" x14ac:dyDescent="0.35">
      <c r="A160" s="29" t="s">
        <v>144</v>
      </c>
      <c r="B160" s="33" t="s">
        <v>51</v>
      </c>
      <c r="C160" s="43">
        <v>36.207293999999997</v>
      </c>
      <c r="D160" s="43">
        <v>36.652416000000002</v>
      </c>
      <c r="E160" s="43">
        <v>37.014668</v>
      </c>
      <c r="F160" s="43">
        <v>37.403576000000001</v>
      </c>
      <c r="G160" s="43">
        <v>37.801949</v>
      </c>
      <c r="H160" s="43">
        <v>38.003754000000001</v>
      </c>
      <c r="I160" s="43">
        <v>38.409111000000003</v>
      </c>
      <c r="J160" s="43">
        <v>38.52243</v>
      </c>
      <c r="K160" s="43">
        <v>38.624564999999997</v>
      </c>
      <c r="L160" s="43">
        <v>38.730476000000003</v>
      </c>
      <c r="M160" s="43">
        <v>38.835116999999997</v>
      </c>
      <c r="N160" s="43">
        <v>38.933754</v>
      </c>
      <c r="O160" s="43">
        <v>39.039527999999997</v>
      </c>
      <c r="P160" s="43">
        <v>39.144725999999999</v>
      </c>
      <c r="Q160" s="43">
        <v>39.245795999999999</v>
      </c>
      <c r="R160" s="43">
        <v>39.285209999999999</v>
      </c>
      <c r="S160" s="43">
        <v>39.312710000000003</v>
      </c>
      <c r="T160" s="43">
        <v>39.339148999999999</v>
      </c>
      <c r="U160" s="43">
        <v>39.368586999999998</v>
      </c>
      <c r="V160" s="43">
        <v>39.394908999999998</v>
      </c>
      <c r="W160" s="43">
        <v>39.420558999999997</v>
      </c>
      <c r="X160" s="43">
        <v>39.450771000000003</v>
      </c>
      <c r="Y160" s="43">
        <v>39.479092000000001</v>
      </c>
      <c r="Z160" s="43">
        <v>39.504707000000003</v>
      </c>
      <c r="AA160" s="43">
        <v>39.533442999999998</v>
      </c>
      <c r="AB160" s="43">
        <v>39.562103</v>
      </c>
      <c r="AC160" s="43">
        <v>39.589478</v>
      </c>
      <c r="AD160" s="43">
        <v>39.620868999999999</v>
      </c>
      <c r="AE160" s="43">
        <v>39.646895999999998</v>
      </c>
      <c r="AF160" s="43">
        <v>39.674647999999998</v>
      </c>
      <c r="AG160" s="43">
        <v>39.702972000000003</v>
      </c>
      <c r="AH160" s="43">
        <v>39.725498000000002</v>
      </c>
      <c r="AI160" s="35">
        <v>2.996E-3</v>
      </c>
    </row>
    <row r="161" spans="1:35" ht="15" customHeight="1" x14ac:dyDescent="0.35">
      <c r="A161" s="29" t="s">
        <v>143</v>
      </c>
      <c r="B161" s="33" t="s">
        <v>49</v>
      </c>
      <c r="C161" s="43">
        <v>34.394550000000002</v>
      </c>
      <c r="D161" s="43">
        <v>34.830730000000003</v>
      </c>
      <c r="E161" s="43">
        <v>35.120559999999998</v>
      </c>
      <c r="F161" s="43">
        <v>35.444603000000001</v>
      </c>
      <c r="G161" s="43">
        <v>35.752414999999999</v>
      </c>
      <c r="H161" s="43">
        <v>35.987347</v>
      </c>
      <c r="I161" s="43">
        <v>36.574539000000001</v>
      </c>
      <c r="J161" s="43">
        <v>36.688572000000001</v>
      </c>
      <c r="K161" s="43">
        <v>36.788887000000003</v>
      </c>
      <c r="L161" s="43">
        <v>36.892417999999999</v>
      </c>
      <c r="M161" s="43">
        <v>36.994644000000001</v>
      </c>
      <c r="N161" s="43">
        <v>37.091591000000001</v>
      </c>
      <c r="O161" s="43">
        <v>37.195552999999997</v>
      </c>
      <c r="P161" s="43">
        <v>37.297942999999997</v>
      </c>
      <c r="Q161" s="43">
        <v>37.397342999999999</v>
      </c>
      <c r="R161" s="43">
        <v>37.435349000000002</v>
      </c>
      <c r="S161" s="43">
        <v>37.463470000000001</v>
      </c>
      <c r="T161" s="43">
        <v>37.490543000000002</v>
      </c>
      <c r="U161" s="43">
        <v>37.518318000000001</v>
      </c>
      <c r="V161" s="43">
        <v>37.543033999999999</v>
      </c>
      <c r="W161" s="43">
        <v>37.567013000000003</v>
      </c>
      <c r="X161" s="43">
        <v>37.594639000000001</v>
      </c>
      <c r="Y161" s="43">
        <v>37.620410999999997</v>
      </c>
      <c r="Z161" s="43">
        <v>37.643695999999998</v>
      </c>
      <c r="AA161" s="43">
        <v>37.669688999999998</v>
      </c>
      <c r="AB161" s="43">
        <v>37.695503000000002</v>
      </c>
      <c r="AC161" s="43">
        <v>37.720013000000002</v>
      </c>
      <c r="AD161" s="43">
        <v>37.748069999999998</v>
      </c>
      <c r="AE161" s="43">
        <v>37.771422999999999</v>
      </c>
      <c r="AF161" s="43">
        <v>37.796126999999998</v>
      </c>
      <c r="AG161" s="43">
        <v>37.821331000000001</v>
      </c>
      <c r="AH161" s="43">
        <v>37.840626</v>
      </c>
      <c r="AI161" s="35">
        <v>3.0850000000000001E-3</v>
      </c>
    </row>
    <row r="162" spans="1:35" ht="15" customHeight="1" x14ac:dyDescent="0.35">
      <c r="A162" s="29" t="s">
        <v>142</v>
      </c>
      <c r="B162" s="33" t="s">
        <v>47</v>
      </c>
      <c r="C162" s="43">
        <v>41.322502</v>
      </c>
      <c r="D162" s="43">
        <v>41.779727999999999</v>
      </c>
      <c r="E162" s="43">
        <v>42.151474</v>
      </c>
      <c r="F162" s="43">
        <v>42.480446000000001</v>
      </c>
      <c r="G162" s="43">
        <v>42.742137999999997</v>
      </c>
      <c r="H162" s="43">
        <v>42.953392000000001</v>
      </c>
      <c r="I162" s="43">
        <v>43.412567000000003</v>
      </c>
      <c r="J162" s="43">
        <v>43.526802000000004</v>
      </c>
      <c r="K162" s="43">
        <v>43.626964999999998</v>
      </c>
      <c r="L162" s="43">
        <v>43.730060999999999</v>
      </c>
      <c r="M162" s="43">
        <v>43.832275000000003</v>
      </c>
      <c r="N162" s="43">
        <v>43.929146000000003</v>
      </c>
      <c r="O162" s="43">
        <v>44.032463</v>
      </c>
      <c r="P162" s="43">
        <v>44.135223000000003</v>
      </c>
      <c r="Q162" s="43">
        <v>44.234122999999997</v>
      </c>
      <c r="R162" s="43">
        <v>44.270412</v>
      </c>
      <c r="S162" s="43">
        <v>44.295738</v>
      </c>
      <c r="T162" s="43">
        <v>44.320312000000001</v>
      </c>
      <c r="U162" s="43">
        <v>44.346851000000001</v>
      </c>
      <c r="V162" s="43">
        <v>44.370505999999999</v>
      </c>
      <c r="W162" s="43">
        <v>44.393585000000002</v>
      </c>
      <c r="X162" s="43">
        <v>44.419848999999999</v>
      </c>
      <c r="Y162" s="43">
        <v>44.444324000000002</v>
      </c>
      <c r="Z162" s="43">
        <v>44.466473000000001</v>
      </c>
      <c r="AA162" s="43">
        <v>44.490882999999997</v>
      </c>
      <c r="AB162" s="43">
        <v>44.514896</v>
      </c>
      <c r="AC162" s="43">
        <v>44.537674000000003</v>
      </c>
      <c r="AD162" s="43">
        <v>44.563552999999999</v>
      </c>
      <c r="AE162" s="43">
        <v>44.585166999999998</v>
      </c>
      <c r="AF162" s="43">
        <v>44.608044</v>
      </c>
      <c r="AG162" s="43">
        <v>44.631287</v>
      </c>
      <c r="AH162" s="43">
        <v>44.648536999999997</v>
      </c>
      <c r="AI162" s="35">
        <v>2.5000000000000001E-3</v>
      </c>
    </row>
    <row r="163" spans="1:35" ht="15" customHeight="1" x14ac:dyDescent="0.35">
      <c r="A163" s="29" t="s">
        <v>141</v>
      </c>
      <c r="B163" s="33" t="s">
        <v>45</v>
      </c>
      <c r="C163" s="43">
        <v>0</v>
      </c>
      <c r="D163" s="43">
        <v>0</v>
      </c>
      <c r="E163" s="43">
        <v>0</v>
      </c>
      <c r="F163" s="43">
        <v>0</v>
      </c>
      <c r="G163" s="43">
        <v>0</v>
      </c>
      <c r="H163" s="43">
        <v>0</v>
      </c>
      <c r="I163" s="43">
        <v>0</v>
      </c>
      <c r="J163" s="43">
        <v>0</v>
      </c>
      <c r="K163" s="43">
        <v>0</v>
      </c>
      <c r="L163" s="43">
        <v>0</v>
      </c>
      <c r="M163" s="43">
        <v>0</v>
      </c>
      <c r="N163" s="43">
        <v>0</v>
      </c>
      <c r="O163" s="43">
        <v>0</v>
      </c>
      <c r="P163" s="43">
        <v>0</v>
      </c>
      <c r="Q163" s="43">
        <v>0</v>
      </c>
      <c r="R163" s="43">
        <v>0</v>
      </c>
      <c r="S163" s="43">
        <v>0</v>
      </c>
      <c r="T163" s="43">
        <v>0</v>
      </c>
      <c r="U163" s="43">
        <v>0</v>
      </c>
      <c r="V163" s="43">
        <v>0</v>
      </c>
      <c r="W163" s="43">
        <v>0</v>
      </c>
      <c r="X163" s="43">
        <v>0</v>
      </c>
      <c r="Y163" s="43">
        <v>0</v>
      </c>
      <c r="Z163" s="43">
        <v>0</v>
      </c>
      <c r="AA163" s="43">
        <v>0</v>
      </c>
      <c r="AB163" s="43">
        <v>0</v>
      </c>
      <c r="AC163" s="43">
        <v>0</v>
      </c>
      <c r="AD163" s="43">
        <v>0</v>
      </c>
      <c r="AE163" s="43">
        <v>0</v>
      </c>
      <c r="AF163" s="43">
        <v>0</v>
      </c>
      <c r="AG163" s="43">
        <v>0</v>
      </c>
      <c r="AH163" s="43">
        <v>0</v>
      </c>
      <c r="AI163" s="35" t="s">
        <v>12</v>
      </c>
    </row>
    <row r="164" spans="1:35" ht="15" customHeight="1" x14ac:dyDescent="0.35">
      <c r="A164" s="29" t="s">
        <v>680</v>
      </c>
      <c r="B164" s="33" t="s">
        <v>556</v>
      </c>
      <c r="C164" s="43">
        <v>0</v>
      </c>
      <c r="D164" s="43">
        <v>0</v>
      </c>
      <c r="E164" s="43">
        <v>0</v>
      </c>
      <c r="F164" s="43">
        <v>0</v>
      </c>
      <c r="G164" s="43">
        <v>0</v>
      </c>
      <c r="H164" s="43">
        <v>0</v>
      </c>
      <c r="I164" s="43">
        <v>0</v>
      </c>
      <c r="J164" s="43">
        <v>0</v>
      </c>
      <c r="K164" s="43">
        <v>0</v>
      </c>
      <c r="L164" s="43">
        <v>0</v>
      </c>
      <c r="M164" s="43">
        <v>0</v>
      </c>
      <c r="N164" s="43">
        <v>0</v>
      </c>
      <c r="O164" s="43">
        <v>0</v>
      </c>
      <c r="P164" s="43">
        <v>0</v>
      </c>
      <c r="Q164" s="43">
        <v>0</v>
      </c>
      <c r="R164" s="43">
        <v>0</v>
      </c>
      <c r="S164" s="43">
        <v>0</v>
      </c>
      <c r="T164" s="43">
        <v>0</v>
      </c>
      <c r="U164" s="43">
        <v>0</v>
      </c>
      <c r="V164" s="43">
        <v>0</v>
      </c>
      <c r="W164" s="43">
        <v>0</v>
      </c>
      <c r="X164" s="43">
        <v>0</v>
      </c>
      <c r="Y164" s="43">
        <v>0</v>
      </c>
      <c r="Z164" s="43">
        <v>0</v>
      </c>
      <c r="AA164" s="43">
        <v>0</v>
      </c>
      <c r="AB164" s="43">
        <v>0</v>
      </c>
      <c r="AC164" s="43">
        <v>0</v>
      </c>
      <c r="AD164" s="43">
        <v>0</v>
      </c>
      <c r="AE164" s="43">
        <v>0</v>
      </c>
      <c r="AF164" s="43">
        <v>0</v>
      </c>
      <c r="AG164" s="43">
        <v>0</v>
      </c>
      <c r="AH164" s="43">
        <v>0</v>
      </c>
      <c r="AI164" s="35" t="s">
        <v>12</v>
      </c>
    </row>
    <row r="165" spans="1:35" ht="15" customHeight="1" x14ac:dyDescent="0.35">
      <c r="A165" s="29" t="s">
        <v>681</v>
      </c>
      <c r="B165" s="33" t="s">
        <v>557</v>
      </c>
      <c r="C165" s="43">
        <v>0</v>
      </c>
      <c r="D165" s="43">
        <v>0</v>
      </c>
      <c r="E165" s="43">
        <v>0</v>
      </c>
      <c r="F165" s="43">
        <v>0</v>
      </c>
      <c r="G165" s="43">
        <v>0</v>
      </c>
      <c r="H165" s="43">
        <v>0</v>
      </c>
      <c r="I165" s="43">
        <v>0</v>
      </c>
      <c r="J165" s="43">
        <v>0</v>
      </c>
      <c r="K165" s="43">
        <v>0</v>
      </c>
      <c r="L165" s="43">
        <v>0</v>
      </c>
      <c r="M165" s="43">
        <v>0</v>
      </c>
      <c r="N165" s="43">
        <v>0</v>
      </c>
      <c r="O165" s="43">
        <v>0</v>
      </c>
      <c r="P165" s="43">
        <v>0</v>
      </c>
      <c r="Q165" s="43">
        <v>0</v>
      </c>
      <c r="R165" s="43">
        <v>0</v>
      </c>
      <c r="S165" s="43">
        <v>0</v>
      </c>
      <c r="T165" s="43">
        <v>0</v>
      </c>
      <c r="U165" s="43">
        <v>0</v>
      </c>
      <c r="V165" s="43">
        <v>0</v>
      </c>
      <c r="W165" s="43">
        <v>0</v>
      </c>
      <c r="X165" s="43">
        <v>0</v>
      </c>
      <c r="Y165" s="43">
        <v>0</v>
      </c>
      <c r="Z165" s="43">
        <v>0</v>
      </c>
      <c r="AA165" s="43">
        <v>0</v>
      </c>
      <c r="AB165" s="43">
        <v>0</v>
      </c>
      <c r="AC165" s="43">
        <v>0</v>
      </c>
      <c r="AD165" s="43">
        <v>0</v>
      </c>
      <c r="AE165" s="43">
        <v>0</v>
      </c>
      <c r="AF165" s="43">
        <v>0</v>
      </c>
      <c r="AG165" s="43">
        <v>0</v>
      </c>
      <c r="AH165" s="43">
        <v>0</v>
      </c>
      <c r="AI165" s="35" t="s">
        <v>12</v>
      </c>
    </row>
    <row r="166" spans="1:35" ht="15" customHeight="1" x14ac:dyDescent="0.35">
      <c r="A166" s="29" t="s">
        <v>140</v>
      </c>
      <c r="B166" s="33" t="s">
        <v>43</v>
      </c>
      <c r="C166" s="43">
        <v>0</v>
      </c>
      <c r="D166" s="43">
        <v>0</v>
      </c>
      <c r="E166" s="43">
        <v>0</v>
      </c>
      <c r="F166" s="43">
        <v>0</v>
      </c>
      <c r="G166" s="43">
        <v>0</v>
      </c>
      <c r="H166" s="43">
        <v>0</v>
      </c>
      <c r="I166" s="43">
        <v>0</v>
      </c>
      <c r="J166" s="43">
        <v>0</v>
      </c>
      <c r="K166" s="43">
        <v>0</v>
      </c>
      <c r="L166" s="43">
        <v>0</v>
      </c>
      <c r="M166" s="43">
        <v>0</v>
      </c>
      <c r="N166" s="43">
        <v>0</v>
      </c>
      <c r="O166" s="43">
        <v>0</v>
      </c>
      <c r="P166" s="43">
        <v>0</v>
      </c>
      <c r="Q166" s="43">
        <v>0</v>
      </c>
      <c r="R166" s="43">
        <v>0</v>
      </c>
      <c r="S166" s="43">
        <v>0</v>
      </c>
      <c r="T166" s="43">
        <v>0</v>
      </c>
      <c r="U166" s="43">
        <v>0</v>
      </c>
      <c r="V166" s="43">
        <v>0</v>
      </c>
      <c r="W166" s="43">
        <v>0</v>
      </c>
      <c r="X166" s="43">
        <v>0</v>
      </c>
      <c r="Y166" s="43">
        <v>0</v>
      </c>
      <c r="Z166" s="43">
        <v>0</v>
      </c>
      <c r="AA166" s="43">
        <v>0</v>
      </c>
      <c r="AB166" s="43">
        <v>0</v>
      </c>
      <c r="AC166" s="43">
        <v>0</v>
      </c>
      <c r="AD166" s="43">
        <v>0</v>
      </c>
      <c r="AE166" s="43">
        <v>0</v>
      </c>
      <c r="AF166" s="43">
        <v>0</v>
      </c>
      <c r="AG166" s="43">
        <v>0</v>
      </c>
      <c r="AH166" s="43">
        <v>0</v>
      </c>
      <c r="AI166" s="35" t="s">
        <v>12</v>
      </c>
    </row>
    <row r="167" spans="1:35" ht="15" customHeight="1" x14ac:dyDescent="0.35">
      <c r="A167" s="29" t="s">
        <v>139</v>
      </c>
      <c r="B167" s="33" t="s">
        <v>41</v>
      </c>
      <c r="C167" s="43">
        <v>44.872993000000001</v>
      </c>
      <c r="D167" s="43">
        <v>45.384731000000002</v>
      </c>
      <c r="E167" s="43">
        <v>45.738028999999997</v>
      </c>
      <c r="F167" s="43">
        <v>46.012756000000003</v>
      </c>
      <c r="G167" s="43">
        <v>46.266334999999998</v>
      </c>
      <c r="H167" s="43">
        <v>46.717728000000001</v>
      </c>
      <c r="I167" s="43">
        <v>47.098534000000001</v>
      </c>
      <c r="J167" s="43">
        <v>47.192177000000001</v>
      </c>
      <c r="K167" s="43">
        <v>47.285248000000003</v>
      </c>
      <c r="L167" s="43">
        <v>47.379832999999998</v>
      </c>
      <c r="M167" s="43">
        <v>47.473869000000001</v>
      </c>
      <c r="N167" s="43">
        <v>47.564971999999997</v>
      </c>
      <c r="O167" s="43">
        <v>47.659309</v>
      </c>
      <c r="P167" s="43">
        <v>47.753489999999999</v>
      </c>
      <c r="Q167" s="43">
        <v>47.845730000000003</v>
      </c>
      <c r="R167" s="43">
        <v>47.874392999999998</v>
      </c>
      <c r="S167" s="43">
        <v>47.890605999999998</v>
      </c>
      <c r="T167" s="43">
        <v>47.906246000000003</v>
      </c>
      <c r="U167" s="43">
        <v>47.924174999999998</v>
      </c>
      <c r="V167" s="43">
        <v>47.940539999999999</v>
      </c>
      <c r="W167" s="43">
        <v>47.956862999999998</v>
      </c>
      <c r="X167" s="43">
        <v>47.975197000000001</v>
      </c>
      <c r="Y167" s="43">
        <v>47.992626000000001</v>
      </c>
      <c r="Z167" s="43">
        <v>48.008766000000001</v>
      </c>
      <c r="AA167" s="43">
        <v>48.026370999999997</v>
      </c>
      <c r="AB167" s="43">
        <v>48.043953000000002</v>
      </c>
      <c r="AC167" s="43">
        <v>48.061152999999997</v>
      </c>
      <c r="AD167" s="43">
        <v>48.080199999999998</v>
      </c>
      <c r="AE167" s="43">
        <v>48.096550000000001</v>
      </c>
      <c r="AF167" s="43">
        <v>48.113987000000002</v>
      </c>
      <c r="AG167" s="43">
        <v>48.134529000000001</v>
      </c>
      <c r="AH167" s="43">
        <v>48.167808999999998</v>
      </c>
      <c r="AI167" s="35">
        <v>2.2880000000000001E-3</v>
      </c>
    </row>
    <row r="168" spans="1:35" ht="15" customHeight="1" x14ac:dyDescent="0.35">
      <c r="A168" s="29" t="s">
        <v>138</v>
      </c>
      <c r="B168" s="33" t="s">
        <v>39</v>
      </c>
      <c r="C168" s="43">
        <v>0</v>
      </c>
      <c r="D168" s="43">
        <v>0</v>
      </c>
      <c r="E168" s="43">
        <v>0</v>
      </c>
      <c r="F168" s="43">
        <v>0</v>
      </c>
      <c r="G168" s="43">
        <v>0</v>
      </c>
      <c r="H168" s="43">
        <v>0</v>
      </c>
      <c r="I168" s="43">
        <v>0</v>
      </c>
      <c r="J168" s="43">
        <v>0</v>
      </c>
      <c r="K168" s="43">
        <v>0</v>
      </c>
      <c r="L168" s="43">
        <v>0</v>
      </c>
      <c r="M168" s="43">
        <v>0</v>
      </c>
      <c r="N168" s="43">
        <v>0</v>
      </c>
      <c r="O168" s="43">
        <v>0</v>
      </c>
      <c r="P168" s="43">
        <v>0</v>
      </c>
      <c r="Q168" s="43">
        <v>0</v>
      </c>
      <c r="R168" s="43">
        <v>0</v>
      </c>
      <c r="S168" s="43">
        <v>0</v>
      </c>
      <c r="T168" s="43">
        <v>0</v>
      </c>
      <c r="U168" s="43">
        <v>0</v>
      </c>
      <c r="V168" s="43">
        <v>0</v>
      </c>
      <c r="W168" s="43">
        <v>0</v>
      </c>
      <c r="X168" s="43">
        <v>0</v>
      </c>
      <c r="Y168" s="43">
        <v>0</v>
      </c>
      <c r="Z168" s="43">
        <v>0</v>
      </c>
      <c r="AA168" s="43">
        <v>0</v>
      </c>
      <c r="AB168" s="43">
        <v>0</v>
      </c>
      <c r="AC168" s="43">
        <v>0</v>
      </c>
      <c r="AD168" s="43">
        <v>0</v>
      </c>
      <c r="AE168" s="43">
        <v>0</v>
      </c>
      <c r="AF168" s="43">
        <v>0</v>
      </c>
      <c r="AG168" s="43">
        <v>0</v>
      </c>
      <c r="AH168" s="43">
        <v>0</v>
      </c>
      <c r="AI168" s="35" t="s">
        <v>12</v>
      </c>
    </row>
    <row r="169" spans="1:35" ht="15" customHeight="1" x14ac:dyDescent="0.35">
      <c r="A169" s="29" t="s">
        <v>137</v>
      </c>
      <c r="B169" s="33" t="s">
        <v>37</v>
      </c>
      <c r="C169" s="43">
        <v>37.910404</v>
      </c>
      <c r="D169" s="43">
        <v>38.542006999999998</v>
      </c>
      <c r="E169" s="43">
        <v>39.115627000000003</v>
      </c>
      <c r="F169" s="43">
        <v>39.631176000000004</v>
      </c>
      <c r="G169" s="43">
        <v>40.118552999999999</v>
      </c>
      <c r="H169" s="43">
        <v>40.601151000000002</v>
      </c>
      <c r="I169" s="43">
        <v>40.808151000000002</v>
      </c>
      <c r="J169" s="43">
        <v>40.897143999999997</v>
      </c>
      <c r="K169" s="43">
        <v>40.985602999999998</v>
      </c>
      <c r="L169" s="43">
        <v>41.074581000000002</v>
      </c>
      <c r="M169" s="43">
        <v>41.163108999999999</v>
      </c>
      <c r="N169" s="43">
        <v>41.250216999999999</v>
      </c>
      <c r="O169" s="43">
        <v>41.338656999999998</v>
      </c>
      <c r="P169" s="43">
        <v>41.426968000000002</v>
      </c>
      <c r="Q169" s="43">
        <v>41.514274999999998</v>
      </c>
      <c r="R169" s="43">
        <v>41.536780999999998</v>
      </c>
      <c r="S169" s="43">
        <v>41.546959000000001</v>
      </c>
      <c r="T169" s="43">
        <v>41.557484000000002</v>
      </c>
      <c r="U169" s="43">
        <v>41.568984999999998</v>
      </c>
      <c r="V169" s="43">
        <v>41.579998000000003</v>
      </c>
      <c r="W169" s="43">
        <v>41.590870000000002</v>
      </c>
      <c r="X169" s="43">
        <v>41.602874999999997</v>
      </c>
      <c r="Y169" s="43">
        <v>41.614544000000002</v>
      </c>
      <c r="Z169" s="43">
        <v>41.625568000000001</v>
      </c>
      <c r="AA169" s="43">
        <v>41.637431999999997</v>
      </c>
      <c r="AB169" s="43">
        <v>41.649310999999997</v>
      </c>
      <c r="AC169" s="43">
        <v>41.660870000000003</v>
      </c>
      <c r="AD169" s="43">
        <v>41.673606999999997</v>
      </c>
      <c r="AE169" s="43">
        <v>41.685023999999999</v>
      </c>
      <c r="AF169" s="43">
        <v>41.696933999999999</v>
      </c>
      <c r="AG169" s="43">
        <v>41.709094999999998</v>
      </c>
      <c r="AH169" s="43">
        <v>41.715229000000001</v>
      </c>
      <c r="AI169" s="35">
        <v>3.0899999999999999E-3</v>
      </c>
    </row>
    <row r="170" spans="1:35" ht="15" customHeight="1" x14ac:dyDescent="0.35">
      <c r="A170" s="29" t="s">
        <v>136</v>
      </c>
      <c r="B170" s="33" t="s">
        <v>35</v>
      </c>
      <c r="C170" s="43">
        <v>0</v>
      </c>
      <c r="D170" s="43">
        <v>0</v>
      </c>
      <c r="E170" s="43">
        <v>0</v>
      </c>
      <c r="F170" s="43">
        <v>0</v>
      </c>
      <c r="G170" s="43">
        <v>0</v>
      </c>
      <c r="H170" s="43">
        <v>0</v>
      </c>
      <c r="I170" s="43">
        <v>0</v>
      </c>
      <c r="J170" s="43">
        <v>0</v>
      </c>
      <c r="K170" s="43">
        <v>0</v>
      </c>
      <c r="L170" s="43">
        <v>0</v>
      </c>
      <c r="M170" s="43">
        <v>0</v>
      </c>
      <c r="N170" s="43">
        <v>0</v>
      </c>
      <c r="O170" s="43">
        <v>0</v>
      </c>
      <c r="P170" s="43">
        <v>0</v>
      </c>
      <c r="Q170" s="43">
        <v>0</v>
      </c>
      <c r="R170" s="43">
        <v>0</v>
      </c>
      <c r="S170" s="43">
        <v>0</v>
      </c>
      <c r="T170" s="43">
        <v>0</v>
      </c>
      <c r="U170" s="43">
        <v>0</v>
      </c>
      <c r="V170" s="43">
        <v>0</v>
      </c>
      <c r="W170" s="43">
        <v>0</v>
      </c>
      <c r="X170" s="43">
        <v>0</v>
      </c>
      <c r="Y170" s="43">
        <v>0</v>
      </c>
      <c r="Z170" s="43">
        <v>0</v>
      </c>
      <c r="AA170" s="43">
        <v>0</v>
      </c>
      <c r="AB170" s="43">
        <v>0</v>
      </c>
      <c r="AC170" s="43">
        <v>0</v>
      </c>
      <c r="AD170" s="43">
        <v>0</v>
      </c>
      <c r="AE170" s="43">
        <v>0</v>
      </c>
      <c r="AF170" s="43">
        <v>0</v>
      </c>
      <c r="AG170" s="43">
        <v>0</v>
      </c>
      <c r="AH170" s="43">
        <v>0</v>
      </c>
      <c r="AI170" s="35" t="s">
        <v>12</v>
      </c>
    </row>
    <row r="171" spans="1:35" ht="15" customHeight="1" x14ac:dyDescent="0.35">
      <c r="A171" s="29" t="s">
        <v>135</v>
      </c>
      <c r="B171" s="33" t="s">
        <v>33</v>
      </c>
      <c r="C171" s="43">
        <v>0</v>
      </c>
      <c r="D171" s="43">
        <v>0</v>
      </c>
      <c r="E171" s="43">
        <v>0</v>
      </c>
      <c r="F171" s="43">
        <v>0</v>
      </c>
      <c r="G171" s="43">
        <v>0</v>
      </c>
      <c r="H171" s="43">
        <v>0</v>
      </c>
      <c r="I171" s="43">
        <v>0</v>
      </c>
      <c r="J171" s="43">
        <v>0</v>
      </c>
      <c r="K171" s="43">
        <v>0</v>
      </c>
      <c r="L171" s="43">
        <v>0</v>
      </c>
      <c r="M171" s="43">
        <v>0</v>
      </c>
      <c r="N171" s="43">
        <v>0</v>
      </c>
      <c r="O171" s="43">
        <v>0</v>
      </c>
      <c r="P171" s="43">
        <v>0</v>
      </c>
      <c r="Q171" s="43">
        <v>0</v>
      </c>
      <c r="R171" s="43">
        <v>0</v>
      </c>
      <c r="S171" s="43">
        <v>0</v>
      </c>
      <c r="T171" s="43">
        <v>0</v>
      </c>
      <c r="U171" s="43">
        <v>0</v>
      </c>
      <c r="V171" s="43">
        <v>0</v>
      </c>
      <c r="W171" s="43">
        <v>0</v>
      </c>
      <c r="X171" s="43">
        <v>0</v>
      </c>
      <c r="Y171" s="43">
        <v>0</v>
      </c>
      <c r="Z171" s="43">
        <v>0</v>
      </c>
      <c r="AA171" s="43">
        <v>0</v>
      </c>
      <c r="AB171" s="43">
        <v>0</v>
      </c>
      <c r="AC171" s="43">
        <v>0</v>
      </c>
      <c r="AD171" s="43">
        <v>0</v>
      </c>
      <c r="AE171" s="43">
        <v>0</v>
      </c>
      <c r="AF171" s="43">
        <v>0</v>
      </c>
      <c r="AG171" s="43">
        <v>0</v>
      </c>
      <c r="AH171" s="43">
        <v>0</v>
      </c>
      <c r="AI171" s="35" t="s">
        <v>12</v>
      </c>
    </row>
    <row r="172" spans="1:35" ht="15" customHeight="1" x14ac:dyDescent="0.35">
      <c r="A172" s="29" t="s">
        <v>682</v>
      </c>
      <c r="B172" s="33" t="s">
        <v>558</v>
      </c>
      <c r="C172" s="43">
        <v>0</v>
      </c>
      <c r="D172" s="43">
        <v>0</v>
      </c>
      <c r="E172" s="43">
        <v>0</v>
      </c>
      <c r="F172" s="43">
        <v>0</v>
      </c>
      <c r="G172" s="43">
        <v>0</v>
      </c>
      <c r="H172" s="43">
        <v>0</v>
      </c>
      <c r="I172" s="43">
        <v>0</v>
      </c>
      <c r="J172" s="43">
        <v>0</v>
      </c>
      <c r="K172" s="43">
        <v>0</v>
      </c>
      <c r="L172" s="43">
        <v>0</v>
      </c>
      <c r="M172" s="43">
        <v>0</v>
      </c>
      <c r="N172" s="43">
        <v>0</v>
      </c>
      <c r="O172" s="43">
        <v>0</v>
      </c>
      <c r="P172" s="43">
        <v>0</v>
      </c>
      <c r="Q172" s="43">
        <v>0</v>
      </c>
      <c r="R172" s="43">
        <v>0</v>
      </c>
      <c r="S172" s="43">
        <v>0</v>
      </c>
      <c r="T172" s="43">
        <v>0</v>
      </c>
      <c r="U172" s="43">
        <v>0</v>
      </c>
      <c r="V172" s="43">
        <v>0</v>
      </c>
      <c r="W172" s="43">
        <v>0</v>
      </c>
      <c r="X172" s="43">
        <v>0</v>
      </c>
      <c r="Y172" s="43">
        <v>0</v>
      </c>
      <c r="Z172" s="43">
        <v>0</v>
      </c>
      <c r="AA172" s="43">
        <v>0</v>
      </c>
      <c r="AB172" s="43">
        <v>0</v>
      </c>
      <c r="AC172" s="43">
        <v>0</v>
      </c>
      <c r="AD172" s="43">
        <v>0</v>
      </c>
      <c r="AE172" s="43">
        <v>0</v>
      </c>
      <c r="AF172" s="43">
        <v>0</v>
      </c>
      <c r="AG172" s="43">
        <v>0</v>
      </c>
      <c r="AH172" s="43">
        <v>0</v>
      </c>
      <c r="AI172" s="35" t="s">
        <v>12</v>
      </c>
    </row>
    <row r="173" spans="1:35" ht="15" customHeight="1" x14ac:dyDescent="0.35">
      <c r="A173" s="29" t="s">
        <v>683</v>
      </c>
      <c r="B173" s="33" t="s">
        <v>559</v>
      </c>
      <c r="C173" s="43">
        <v>0</v>
      </c>
      <c r="D173" s="43">
        <v>0</v>
      </c>
      <c r="E173" s="43">
        <v>0</v>
      </c>
      <c r="F173" s="43">
        <v>0</v>
      </c>
      <c r="G173" s="43">
        <v>0</v>
      </c>
      <c r="H173" s="43">
        <v>0</v>
      </c>
      <c r="I173" s="43">
        <v>0</v>
      </c>
      <c r="J173" s="43">
        <v>0</v>
      </c>
      <c r="K173" s="43">
        <v>0</v>
      </c>
      <c r="L173" s="43">
        <v>0</v>
      </c>
      <c r="M173" s="43">
        <v>0</v>
      </c>
      <c r="N173" s="43">
        <v>0</v>
      </c>
      <c r="O173" s="43">
        <v>0</v>
      </c>
      <c r="P173" s="43">
        <v>0</v>
      </c>
      <c r="Q173" s="43">
        <v>0</v>
      </c>
      <c r="R173" s="43">
        <v>0</v>
      </c>
      <c r="S173" s="43">
        <v>0</v>
      </c>
      <c r="T173" s="43">
        <v>0</v>
      </c>
      <c r="U173" s="43">
        <v>0</v>
      </c>
      <c r="V173" s="43">
        <v>0</v>
      </c>
      <c r="W173" s="43">
        <v>0</v>
      </c>
      <c r="X173" s="43">
        <v>0</v>
      </c>
      <c r="Y173" s="43">
        <v>0</v>
      </c>
      <c r="Z173" s="43">
        <v>0</v>
      </c>
      <c r="AA173" s="43">
        <v>0</v>
      </c>
      <c r="AB173" s="43">
        <v>0</v>
      </c>
      <c r="AC173" s="43">
        <v>0</v>
      </c>
      <c r="AD173" s="43">
        <v>0</v>
      </c>
      <c r="AE173" s="43">
        <v>0</v>
      </c>
      <c r="AF173" s="43">
        <v>0</v>
      </c>
      <c r="AG173" s="43">
        <v>0</v>
      </c>
      <c r="AH173" s="43">
        <v>0</v>
      </c>
      <c r="AI173" s="35" t="s">
        <v>12</v>
      </c>
    </row>
    <row r="175" spans="1:35" ht="15" customHeight="1" x14ac:dyDescent="0.35">
      <c r="A175" s="25"/>
      <c r="B175" s="32" t="s">
        <v>134</v>
      </c>
      <c r="C175" s="25"/>
      <c r="D175" s="25"/>
      <c r="E175" s="25"/>
      <c r="F175" s="25"/>
      <c r="G175" s="25"/>
      <c r="H175" s="25"/>
      <c r="I175" s="25"/>
      <c r="J175" s="25"/>
      <c r="K175" s="25"/>
      <c r="L175" s="25"/>
      <c r="M175" s="25"/>
      <c r="N175" s="25"/>
      <c r="O175" s="25"/>
      <c r="P175" s="25"/>
      <c r="Q175" s="25"/>
      <c r="R175" s="25"/>
      <c r="S175" s="25"/>
      <c r="T175" s="25"/>
      <c r="U175" s="25"/>
      <c r="V175" s="25"/>
      <c r="W175" s="25"/>
      <c r="X175" s="25"/>
      <c r="Y175" s="25"/>
      <c r="Z175" s="25"/>
      <c r="AA175" s="25"/>
      <c r="AB175" s="25"/>
      <c r="AC175" s="25"/>
      <c r="AD175" s="25"/>
      <c r="AE175" s="25"/>
      <c r="AF175" s="25"/>
      <c r="AG175" s="25"/>
      <c r="AH175" s="25"/>
      <c r="AI175" s="25"/>
    </row>
    <row r="176" spans="1:35" ht="15" customHeight="1" x14ac:dyDescent="0.35">
      <c r="A176" s="29" t="s">
        <v>133</v>
      </c>
      <c r="B176" s="33" t="s">
        <v>55</v>
      </c>
      <c r="C176" s="43">
        <v>88.215598999999997</v>
      </c>
      <c r="D176" s="43">
        <v>88.053200000000004</v>
      </c>
      <c r="E176" s="43">
        <v>87.872696000000005</v>
      </c>
      <c r="F176" s="43">
        <v>87.554778999999996</v>
      </c>
      <c r="G176" s="43">
        <v>87.264893000000001</v>
      </c>
      <c r="H176" s="43">
        <v>87.070769999999996</v>
      </c>
      <c r="I176" s="43">
        <v>86.993645000000001</v>
      </c>
      <c r="J176" s="43">
        <v>86.887077000000005</v>
      </c>
      <c r="K176" s="43">
        <v>86.791404999999997</v>
      </c>
      <c r="L176" s="43">
        <v>86.708595000000003</v>
      </c>
      <c r="M176" s="43">
        <v>86.638947000000002</v>
      </c>
      <c r="N176" s="43">
        <v>86.582053999999999</v>
      </c>
      <c r="O176" s="43">
        <v>86.537887999999995</v>
      </c>
      <c r="P176" s="43">
        <v>86.505058000000005</v>
      </c>
      <c r="Q176" s="43">
        <v>86.483231000000004</v>
      </c>
      <c r="R176" s="43">
        <v>86.406066999999993</v>
      </c>
      <c r="S176" s="43">
        <v>86.325241000000005</v>
      </c>
      <c r="T176" s="43">
        <v>86.253403000000006</v>
      </c>
      <c r="U176" s="43">
        <v>86.190178000000003</v>
      </c>
      <c r="V176" s="43">
        <v>86.135482999999994</v>
      </c>
      <c r="W176" s="43">
        <v>86.08905</v>
      </c>
      <c r="X176" s="43">
        <v>86.050781000000001</v>
      </c>
      <c r="Y176" s="43">
        <v>86.050147999999993</v>
      </c>
      <c r="Z176" s="43">
        <v>86.049819999999997</v>
      </c>
      <c r="AA176" s="43">
        <v>86.049805000000006</v>
      </c>
      <c r="AB176" s="43">
        <v>86.050017999999994</v>
      </c>
      <c r="AC176" s="43">
        <v>86.050255000000007</v>
      </c>
      <c r="AD176" s="43">
        <v>86.050872999999996</v>
      </c>
      <c r="AE176" s="43">
        <v>86.051704000000001</v>
      </c>
      <c r="AF176" s="43">
        <v>86.052520999999999</v>
      </c>
      <c r="AG176" s="43">
        <v>86.053657999999999</v>
      </c>
      <c r="AH176" s="43">
        <v>86.048668000000006</v>
      </c>
      <c r="AI176" s="35">
        <v>-8.0199999999999998E-4</v>
      </c>
    </row>
    <row r="177" spans="1:35" ht="15" customHeight="1" x14ac:dyDescent="0.35">
      <c r="A177" s="29" t="s">
        <v>132</v>
      </c>
      <c r="B177" s="33" t="s">
        <v>53</v>
      </c>
      <c r="C177" s="43">
        <v>52.994675000000001</v>
      </c>
      <c r="D177" s="43">
        <v>52.732689000000001</v>
      </c>
      <c r="E177" s="43">
        <v>52.389263</v>
      </c>
      <c r="F177" s="43">
        <v>51.969504999999998</v>
      </c>
      <c r="G177" s="43">
        <v>51.630775</v>
      </c>
      <c r="H177" s="43">
        <v>51.399563000000001</v>
      </c>
      <c r="I177" s="43">
        <v>51.238276999999997</v>
      </c>
      <c r="J177" s="43">
        <v>51.112304999999999</v>
      </c>
      <c r="K177" s="43">
        <v>51.001334999999997</v>
      </c>
      <c r="L177" s="43">
        <v>50.904643999999998</v>
      </c>
      <c r="M177" s="43">
        <v>50.822364999999998</v>
      </c>
      <c r="N177" s="43">
        <v>50.754078</v>
      </c>
      <c r="O177" s="43">
        <v>50.699024000000001</v>
      </c>
      <c r="P177" s="43">
        <v>50.656471000000003</v>
      </c>
      <c r="Q177" s="43">
        <v>50.625262999999997</v>
      </c>
      <c r="R177" s="43">
        <v>50.539375</v>
      </c>
      <c r="S177" s="43">
        <v>50.450629999999997</v>
      </c>
      <c r="T177" s="43">
        <v>50.371639000000002</v>
      </c>
      <c r="U177" s="43">
        <v>50.302128000000003</v>
      </c>
      <c r="V177" s="43">
        <v>50.24194</v>
      </c>
      <c r="W177" s="43">
        <v>50.190857000000001</v>
      </c>
      <c r="X177" s="43">
        <v>50.148665999999999</v>
      </c>
      <c r="Y177" s="43">
        <v>50.147590999999998</v>
      </c>
      <c r="Z177" s="43">
        <v>50.146853999999998</v>
      </c>
      <c r="AA177" s="43">
        <v>50.146397</v>
      </c>
      <c r="AB177" s="43">
        <v>50.146202000000002</v>
      </c>
      <c r="AC177" s="43">
        <v>50.146214000000001</v>
      </c>
      <c r="AD177" s="43">
        <v>50.146439000000001</v>
      </c>
      <c r="AE177" s="43">
        <v>50.146884999999997</v>
      </c>
      <c r="AF177" s="43">
        <v>50.147488000000003</v>
      </c>
      <c r="AG177" s="43">
        <v>50.148243000000001</v>
      </c>
      <c r="AH177" s="43">
        <v>50.142921000000001</v>
      </c>
      <c r="AI177" s="35">
        <v>-1.7830000000000001E-3</v>
      </c>
    </row>
    <row r="178" spans="1:35" ht="15" customHeight="1" x14ac:dyDescent="0.35">
      <c r="A178" s="29" t="s">
        <v>131</v>
      </c>
      <c r="B178" s="33" t="s">
        <v>51</v>
      </c>
      <c r="C178" s="43">
        <v>41.591484000000001</v>
      </c>
      <c r="D178" s="43">
        <v>41.395690999999999</v>
      </c>
      <c r="E178" s="43">
        <v>41.064926</v>
      </c>
      <c r="F178" s="43">
        <v>40.735432000000003</v>
      </c>
      <c r="G178" s="43">
        <v>40.442889999999998</v>
      </c>
      <c r="H178" s="43">
        <v>40.234878999999999</v>
      </c>
      <c r="I178" s="43">
        <v>40.173309000000003</v>
      </c>
      <c r="J178" s="43">
        <v>40.054642000000001</v>
      </c>
      <c r="K178" s="43">
        <v>39.949542999999998</v>
      </c>
      <c r="L178" s="43">
        <v>39.858722999999998</v>
      </c>
      <c r="M178" s="43">
        <v>39.782210999999997</v>
      </c>
      <c r="N178" s="43">
        <v>39.719329999999999</v>
      </c>
      <c r="O178" s="43">
        <v>39.669159000000001</v>
      </c>
      <c r="P178" s="43">
        <v>39.630833000000003</v>
      </c>
      <c r="Q178" s="43">
        <v>39.603523000000003</v>
      </c>
      <c r="R178" s="43">
        <v>39.521183000000001</v>
      </c>
      <c r="S178" s="43">
        <v>39.435679999999998</v>
      </c>
      <c r="T178" s="43">
        <v>39.359673000000001</v>
      </c>
      <c r="U178" s="43">
        <v>39.292777999999998</v>
      </c>
      <c r="V178" s="43">
        <v>39.234817999999997</v>
      </c>
      <c r="W178" s="43">
        <v>39.185679999999998</v>
      </c>
      <c r="X178" s="43">
        <v>39.145072999999996</v>
      </c>
      <c r="Y178" s="43">
        <v>39.144272000000001</v>
      </c>
      <c r="Z178" s="43">
        <v>39.143787000000003</v>
      </c>
      <c r="AA178" s="43">
        <v>39.143580999999998</v>
      </c>
      <c r="AB178" s="43">
        <v>39.143611999999997</v>
      </c>
      <c r="AC178" s="43">
        <v>39.143856</v>
      </c>
      <c r="AD178" s="43">
        <v>39.144306</v>
      </c>
      <c r="AE178" s="43">
        <v>39.144947000000002</v>
      </c>
      <c r="AF178" s="43">
        <v>39.145775</v>
      </c>
      <c r="AG178" s="43">
        <v>39.146732</v>
      </c>
      <c r="AH178" s="43">
        <v>39.141635999999998</v>
      </c>
      <c r="AI178" s="35">
        <v>-1.9559999999999998E-3</v>
      </c>
    </row>
    <row r="179" spans="1:35" ht="15" customHeight="1" x14ac:dyDescent="0.35">
      <c r="A179" s="29" t="s">
        <v>130</v>
      </c>
      <c r="B179" s="33" t="s">
        <v>49</v>
      </c>
      <c r="C179" s="43">
        <v>41.634995000000004</v>
      </c>
      <c r="D179" s="43">
        <v>41.405028999999999</v>
      </c>
      <c r="E179" s="43">
        <v>41.015087000000001</v>
      </c>
      <c r="F179" s="43">
        <v>40.620911</v>
      </c>
      <c r="G179" s="43">
        <v>40.274898999999998</v>
      </c>
      <c r="H179" s="43">
        <v>39.959755000000001</v>
      </c>
      <c r="I179" s="43">
        <v>39.819747999999997</v>
      </c>
      <c r="J179" s="43">
        <v>39.627879999999998</v>
      </c>
      <c r="K179" s="43">
        <v>39.456767999999997</v>
      </c>
      <c r="L179" s="43">
        <v>39.308250000000001</v>
      </c>
      <c r="M179" s="43">
        <v>39.183750000000003</v>
      </c>
      <c r="N179" s="43">
        <v>39.082619000000001</v>
      </c>
      <c r="O179" s="43">
        <v>39.002746999999999</v>
      </c>
      <c r="P179" s="43">
        <v>38.941605000000003</v>
      </c>
      <c r="Q179" s="43">
        <v>38.896552999999997</v>
      </c>
      <c r="R179" s="43">
        <v>38.799937999999997</v>
      </c>
      <c r="S179" s="43">
        <v>38.703181999999998</v>
      </c>
      <c r="T179" s="43">
        <v>38.617702000000001</v>
      </c>
      <c r="U179" s="43">
        <v>38.542605999999999</v>
      </c>
      <c r="V179" s="43">
        <v>38.477328999999997</v>
      </c>
      <c r="W179" s="43">
        <v>38.421500999999999</v>
      </c>
      <c r="X179" s="43">
        <v>38.374473999999999</v>
      </c>
      <c r="Y179" s="43">
        <v>38.373463000000001</v>
      </c>
      <c r="Z179" s="43">
        <v>38.372768000000001</v>
      </c>
      <c r="AA179" s="43">
        <v>38.372349</v>
      </c>
      <c r="AB179" s="43">
        <v>38.372188999999999</v>
      </c>
      <c r="AC179" s="43">
        <v>38.372245999999997</v>
      </c>
      <c r="AD179" s="43">
        <v>38.372504999999997</v>
      </c>
      <c r="AE179" s="43">
        <v>38.372967000000003</v>
      </c>
      <c r="AF179" s="43">
        <v>38.373615000000001</v>
      </c>
      <c r="AG179" s="43">
        <v>38.374405000000003</v>
      </c>
      <c r="AH179" s="43">
        <v>38.369140999999999</v>
      </c>
      <c r="AI179" s="35">
        <v>-2.6319999999999998E-3</v>
      </c>
    </row>
    <row r="180" spans="1:35" ht="15" customHeight="1" x14ac:dyDescent="0.35">
      <c r="A180" s="29" t="s">
        <v>129</v>
      </c>
      <c r="B180" s="33" t="s">
        <v>47</v>
      </c>
      <c r="C180" s="43">
        <v>0</v>
      </c>
      <c r="D180" s="43">
        <v>0</v>
      </c>
      <c r="E180" s="43">
        <v>0</v>
      </c>
      <c r="F180" s="43">
        <v>0</v>
      </c>
      <c r="G180" s="43">
        <v>0</v>
      </c>
      <c r="H180" s="43">
        <v>0</v>
      </c>
      <c r="I180" s="43">
        <v>0</v>
      </c>
      <c r="J180" s="43">
        <v>0</v>
      </c>
      <c r="K180" s="43">
        <v>0</v>
      </c>
      <c r="L180" s="43">
        <v>0</v>
      </c>
      <c r="M180" s="43">
        <v>0</v>
      </c>
      <c r="N180" s="43">
        <v>0</v>
      </c>
      <c r="O180" s="43">
        <v>0</v>
      </c>
      <c r="P180" s="43">
        <v>0</v>
      </c>
      <c r="Q180" s="43">
        <v>0</v>
      </c>
      <c r="R180" s="43">
        <v>0</v>
      </c>
      <c r="S180" s="43">
        <v>0</v>
      </c>
      <c r="T180" s="43">
        <v>0</v>
      </c>
      <c r="U180" s="43">
        <v>0</v>
      </c>
      <c r="V180" s="43">
        <v>0</v>
      </c>
      <c r="W180" s="43">
        <v>0</v>
      </c>
      <c r="X180" s="43">
        <v>0</v>
      </c>
      <c r="Y180" s="43">
        <v>0</v>
      </c>
      <c r="Z180" s="43">
        <v>0</v>
      </c>
      <c r="AA180" s="43">
        <v>0</v>
      </c>
      <c r="AB180" s="43">
        <v>0</v>
      </c>
      <c r="AC180" s="43">
        <v>0</v>
      </c>
      <c r="AD180" s="43">
        <v>0</v>
      </c>
      <c r="AE180" s="43">
        <v>0</v>
      </c>
      <c r="AF180" s="43">
        <v>0</v>
      </c>
      <c r="AG180" s="43">
        <v>0</v>
      </c>
      <c r="AH180" s="43">
        <v>0</v>
      </c>
      <c r="AI180" s="35" t="s">
        <v>12</v>
      </c>
    </row>
    <row r="181" spans="1:35" ht="15" customHeight="1" x14ac:dyDescent="0.35">
      <c r="A181" s="29" t="s">
        <v>128</v>
      </c>
      <c r="B181" s="33" t="s">
        <v>45</v>
      </c>
      <c r="C181" s="43">
        <v>117.832787</v>
      </c>
      <c r="D181" s="43">
        <v>117.568352</v>
      </c>
      <c r="E181" s="43">
        <v>117.26805899999999</v>
      </c>
      <c r="F181" s="43">
        <v>116.837563</v>
      </c>
      <c r="G181" s="43">
        <v>116.387024</v>
      </c>
      <c r="H181" s="43">
        <v>116.07178500000001</v>
      </c>
      <c r="I181" s="43">
        <v>115.85597199999999</v>
      </c>
      <c r="J181" s="43">
        <v>115.592209</v>
      </c>
      <c r="K181" s="43">
        <v>115.35567500000001</v>
      </c>
      <c r="L181" s="43">
        <v>115.15097</v>
      </c>
      <c r="M181" s="43">
        <v>114.980957</v>
      </c>
      <c r="N181" s="43">
        <v>114.84457399999999</v>
      </c>
      <c r="O181" s="43">
        <v>114.73846399999999</v>
      </c>
      <c r="P181" s="43">
        <v>114.65821800000001</v>
      </c>
      <c r="Q181" s="43">
        <v>114.599976</v>
      </c>
      <c r="R181" s="43">
        <v>114.49472</v>
      </c>
      <c r="S181" s="43">
        <v>114.391159</v>
      </c>
      <c r="T181" s="43">
        <v>114.299553</v>
      </c>
      <c r="U181" s="43">
        <v>114.21923099999999</v>
      </c>
      <c r="V181" s="43">
        <v>114.149277</v>
      </c>
      <c r="W181" s="43">
        <v>114.08891300000001</v>
      </c>
      <c r="X181" s="43">
        <v>114.037155</v>
      </c>
      <c r="Y181" s="43">
        <v>114.03621699999999</v>
      </c>
      <c r="Z181" s="43">
        <v>114.035591</v>
      </c>
      <c r="AA181" s="43">
        <v>114.035263</v>
      </c>
      <c r="AB181" s="43">
        <v>114.035179</v>
      </c>
      <c r="AC181" s="43">
        <v>114.035217</v>
      </c>
      <c r="AD181" s="43">
        <v>114.035522</v>
      </c>
      <c r="AE181" s="43">
        <v>114.036064</v>
      </c>
      <c r="AF181" s="43">
        <v>114.036674</v>
      </c>
      <c r="AG181" s="43">
        <v>114.037521</v>
      </c>
      <c r="AH181" s="43">
        <v>114.032257</v>
      </c>
      <c r="AI181" s="35">
        <v>-1.057E-3</v>
      </c>
    </row>
    <row r="182" spans="1:35" ht="15" customHeight="1" x14ac:dyDescent="0.35">
      <c r="A182" s="29" t="s">
        <v>684</v>
      </c>
      <c r="B182" s="33" t="s">
        <v>556</v>
      </c>
      <c r="C182" s="43">
        <v>41.714336000000003</v>
      </c>
      <c r="D182" s="43">
        <v>41.464278999999998</v>
      </c>
      <c r="E182" s="43">
        <v>41.090164000000001</v>
      </c>
      <c r="F182" s="43">
        <v>40.671889999999998</v>
      </c>
      <c r="G182" s="43">
        <v>40.264235999999997</v>
      </c>
      <c r="H182" s="43">
        <v>39.889214000000003</v>
      </c>
      <c r="I182" s="43">
        <v>39.760081999999997</v>
      </c>
      <c r="J182" s="43">
        <v>39.546906</v>
      </c>
      <c r="K182" s="43">
        <v>39.355400000000003</v>
      </c>
      <c r="L182" s="43">
        <v>39.188735999999999</v>
      </c>
      <c r="M182" s="43">
        <v>39.048653000000002</v>
      </c>
      <c r="N182" s="43">
        <v>38.934448000000003</v>
      </c>
      <c r="O182" s="43">
        <v>38.843730999999998</v>
      </c>
      <c r="P182" s="43">
        <v>38.773429999999998</v>
      </c>
      <c r="Q182" s="43">
        <v>38.720908999999999</v>
      </c>
      <c r="R182" s="43">
        <v>38.618186999999999</v>
      </c>
      <c r="S182" s="43">
        <v>38.515892000000001</v>
      </c>
      <c r="T182" s="43">
        <v>38.425590999999997</v>
      </c>
      <c r="U182" s="43">
        <v>38.346232999999998</v>
      </c>
      <c r="V182" s="43">
        <v>38.277199000000003</v>
      </c>
      <c r="W182" s="43">
        <v>38.218052</v>
      </c>
      <c r="X182" s="43">
        <v>38.168049000000003</v>
      </c>
      <c r="Y182" s="43">
        <v>38.166736999999998</v>
      </c>
      <c r="Z182" s="43">
        <v>38.165764000000003</v>
      </c>
      <c r="AA182" s="43">
        <v>38.165089000000002</v>
      </c>
      <c r="AB182" s="43">
        <v>38.164658000000003</v>
      </c>
      <c r="AC182" s="43">
        <v>38.164394000000001</v>
      </c>
      <c r="AD182" s="43">
        <v>38.164386999999998</v>
      </c>
      <c r="AE182" s="43">
        <v>38.164603999999997</v>
      </c>
      <c r="AF182" s="43">
        <v>38.164974000000001</v>
      </c>
      <c r="AG182" s="43">
        <v>38.165523999999998</v>
      </c>
      <c r="AH182" s="43">
        <v>38.160004000000001</v>
      </c>
      <c r="AI182" s="35">
        <v>-2.869E-3</v>
      </c>
    </row>
    <row r="183" spans="1:35" ht="15" customHeight="1" x14ac:dyDescent="0.35">
      <c r="A183" s="29" t="s">
        <v>685</v>
      </c>
      <c r="B183" s="33" t="s">
        <v>557</v>
      </c>
      <c r="C183" s="43">
        <v>52.453406999999999</v>
      </c>
      <c r="D183" s="43">
        <v>52.064362000000003</v>
      </c>
      <c r="E183" s="43">
        <v>51.560080999999997</v>
      </c>
      <c r="F183" s="43">
        <v>51.078921999999999</v>
      </c>
      <c r="G183" s="43">
        <v>50.607773000000002</v>
      </c>
      <c r="H183" s="43">
        <v>50.114829999999998</v>
      </c>
      <c r="I183" s="43">
        <v>50.080364000000003</v>
      </c>
      <c r="J183" s="43">
        <v>49.815688999999999</v>
      </c>
      <c r="K183" s="43">
        <v>49.574261</v>
      </c>
      <c r="L183" s="43">
        <v>49.362316</v>
      </c>
      <c r="M183" s="43">
        <v>49.181880999999997</v>
      </c>
      <c r="N183" s="43">
        <v>49.032027999999997</v>
      </c>
      <c r="O183" s="43">
        <v>48.909908000000001</v>
      </c>
      <c r="P183" s="43">
        <v>48.812148999999998</v>
      </c>
      <c r="Q183" s="43">
        <v>48.735954</v>
      </c>
      <c r="R183" s="43">
        <v>48.612316</v>
      </c>
      <c r="S183" s="43">
        <v>48.491740999999998</v>
      </c>
      <c r="T183" s="43">
        <v>48.385188999999997</v>
      </c>
      <c r="U183" s="43">
        <v>48.291435</v>
      </c>
      <c r="V183" s="43">
        <v>48.209739999999996</v>
      </c>
      <c r="W183" s="43">
        <v>48.139468999999998</v>
      </c>
      <c r="X183" s="43">
        <v>48.079891000000003</v>
      </c>
      <c r="Y183" s="43">
        <v>48.077250999999997</v>
      </c>
      <c r="Z183" s="43">
        <v>48.074997000000003</v>
      </c>
      <c r="AA183" s="43">
        <v>48.073104999999998</v>
      </c>
      <c r="AB183" s="43">
        <v>48.071528999999998</v>
      </c>
      <c r="AC183" s="43">
        <v>48.069988000000002</v>
      </c>
      <c r="AD183" s="43">
        <v>48.068854999999999</v>
      </c>
      <c r="AE183" s="43">
        <v>48.068001000000002</v>
      </c>
      <c r="AF183" s="43">
        <v>48.067183999999997</v>
      </c>
      <c r="AG183" s="43">
        <v>48.066696</v>
      </c>
      <c r="AH183" s="43">
        <v>48.060101000000003</v>
      </c>
      <c r="AI183" s="35">
        <v>-2.8180000000000002E-3</v>
      </c>
    </row>
    <row r="184" spans="1:35" ht="15" customHeight="1" x14ac:dyDescent="0.35">
      <c r="A184" s="29" t="s">
        <v>127</v>
      </c>
      <c r="B184" s="33" t="s">
        <v>43</v>
      </c>
      <c r="C184" s="43">
        <v>0</v>
      </c>
      <c r="D184" s="43">
        <v>0</v>
      </c>
      <c r="E184" s="43">
        <v>0</v>
      </c>
      <c r="F184" s="43">
        <v>0</v>
      </c>
      <c r="G184" s="43">
        <v>0</v>
      </c>
      <c r="H184" s="43">
        <v>0</v>
      </c>
      <c r="I184" s="43">
        <v>0</v>
      </c>
      <c r="J184" s="43">
        <v>0</v>
      </c>
      <c r="K184" s="43">
        <v>0</v>
      </c>
      <c r="L184" s="43">
        <v>0</v>
      </c>
      <c r="M184" s="43">
        <v>0</v>
      </c>
      <c r="N184" s="43">
        <v>0</v>
      </c>
      <c r="O184" s="43">
        <v>0</v>
      </c>
      <c r="P184" s="43">
        <v>0</v>
      </c>
      <c r="Q184" s="43">
        <v>0</v>
      </c>
      <c r="R184" s="43">
        <v>0</v>
      </c>
      <c r="S184" s="43">
        <v>0</v>
      </c>
      <c r="T184" s="43">
        <v>0</v>
      </c>
      <c r="U184" s="43">
        <v>0</v>
      </c>
      <c r="V184" s="43">
        <v>0</v>
      </c>
      <c r="W184" s="43">
        <v>0</v>
      </c>
      <c r="X184" s="43">
        <v>0</v>
      </c>
      <c r="Y184" s="43">
        <v>0</v>
      </c>
      <c r="Z184" s="43">
        <v>0</v>
      </c>
      <c r="AA184" s="43">
        <v>0</v>
      </c>
      <c r="AB184" s="43">
        <v>0</v>
      </c>
      <c r="AC184" s="43">
        <v>0</v>
      </c>
      <c r="AD184" s="43">
        <v>0</v>
      </c>
      <c r="AE184" s="43">
        <v>0</v>
      </c>
      <c r="AF184" s="43">
        <v>0</v>
      </c>
      <c r="AG184" s="43">
        <v>0</v>
      </c>
      <c r="AH184" s="43">
        <v>0</v>
      </c>
      <c r="AI184" s="35" t="s">
        <v>12</v>
      </c>
    </row>
    <row r="185" spans="1:35" ht="15" customHeight="1" x14ac:dyDescent="0.35">
      <c r="A185" s="29" t="s">
        <v>126</v>
      </c>
      <c r="B185" s="33" t="s">
        <v>41</v>
      </c>
      <c r="C185" s="43">
        <v>0</v>
      </c>
      <c r="D185" s="43">
        <v>0</v>
      </c>
      <c r="E185" s="43">
        <v>0</v>
      </c>
      <c r="F185" s="43">
        <v>0</v>
      </c>
      <c r="G185" s="43">
        <v>0</v>
      </c>
      <c r="H185" s="43">
        <v>0</v>
      </c>
      <c r="I185" s="43">
        <v>0</v>
      </c>
      <c r="J185" s="43">
        <v>0</v>
      </c>
      <c r="K185" s="43">
        <v>0</v>
      </c>
      <c r="L185" s="43">
        <v>0</v>
      </c>
      <c r="M185" s="43">
        <v>0</v>
      </c>
      <c r="N185" s="43">
        <v>0</v>
      </c>
      <c r="O185" s="43">
        <v>0</v>
      </c>
      <c r="P185" s="43">
        <v>0</v>
      </c>
      <c r="Q185" s="43">
        <v>0</v>
      </c>
      <c r="R185" s="43">
        <v>0</v>
      </c>
      <c r="S185" s="43">
        <v>0</v>
      </c>
      <c r="T185" s="43">
        <v>0</v>
      </c>
      <c r="U185" s="43">
        <v>0</v>
      </c>
      <c r="V185" s="43">
        <v>0</v>
      </c>
      <c r="W185" s="43">
        <v>0</v>
      </c>
      <c r="X185" s="43">
        <v>0</v>
      </c>
      <c r="Y185" s="43">
        <v>0</v>
      </c>
      <c r="Z185" s="43">
        <v>0</v>
      </c>
      <c r="AA185" s="43">
        <v>0</v>
      </c>
      <c r="AB185" s="43">
        <v>0</v>
      </c>
      <c r="AC185" s="43">
        <v>0</v>
      </c>
      <c r="AD185" s="43">
        <v>0</v>
      </c>
      <c r="AE185" s="43">
        <v>0</v>
      </c>
      <c r="AF185" s="43">
        <v>0</v>
      </c>
      <c r="AG185" s="43">
        <v>0</v>
      </c>
      <c r="AH185" s="43">
        <v>0</v>
      </c>
      <c r="AI185" s="35" t="s">
        <v>12</v>
      </c>
    </row>
    <row r="186" spans="1:35" ht="15" customHeight="1" x14ac:dyDescent="0.35">
      <c r="A186" s="29" t="s">
        <v>125</v>
      </c>
      <c r="B186" s="33" t="s">
        <v>39</v>
      </c>
      <c r="C186" s="43">
        <v>0</v>
      </c>
      <c r="D186" s="43">
        <v>0</v>
      </c>
      <c r="E186" s="43">
        <v>46.995781000000001</v>
      </c>
      <c r="F186" s="43">
        <v>46.539810000000003</v>
      </c>
      <c r="G186" s="43">
        <v>46.178035999999999</v>
      </c>
      <c r="H186" s="43">
        <v>45.797038999999998</v>
      </c>
      <c r="I186" s="43">
        <v>45.732021000000003</v>
      </c>
      <c r="J186" s="43">
        <v>45.567745000000002</v>
      </c>
      <c r="K186" s="43">
        <v>45.417686000000003</v>
      </c>
      <c r="L186" s="43">
        <v>45.282756999999997</v>
      </c>
      <c r="M186" s="43">
        <v>45.162697000000001</v>
      </c>
      <c r="N186" s="43">
        <v>45.057037000000001</v>
      </c>
      <c r="O186" s="43">
        <v>44.965820000000001</v>
      </c>
      <c r="P186" s="43">
        <v>44.887867</v>
      </c>
      <c r="Q186" s="43">
        <v>44.822968000000003</v>
      </c>
      <c r="R186" s="43">
        <v>44.705399</v>
      </c>
      <c r="S186" s="43">
        <v>44.587288000000001</v>
      </c>
      <c r="T186" s="43">
        <v>44.481701000000001</v>
      </c>
      <c r="U186" s="43">
        <v>44.388474000000002</v>
      </c>
      <c r="V186" s="43">
        <v>44.307532999999999</v>
      </c>
      <c r="W186" s="43">
        <v>44.238750000000003</v>
      </c>
      <c r="X186" s="43">
        <v>44.182014000000002</v>
      </c>
      <c r="Y186" s="43">
        <v>44.178359999999998</v>
      </c>
      <c r="Z186" s="43">
        <v>44.175167000000002</v>
      </c>
      <c r="AA186" s="43">
        <v>44.172367000000001</v>
      </c>
      <c r="AB186" s="43">
        <v>44.169910000000002</v>
      </c>
      <c r="AC186" s="43">
        <v>44.167755</v>
      </c>
      <c r="AD186" s="43">
        <v>44.165905000000002</v>
      </c>
      <c r="AE186" s="43">
        <v>44.164341</v>
      </c>
      <c r="AF186" s="43">
        <v>44.162998000000002</v>
      </c>
      <c r="AG186" s="43">
        <v>44.161864999999999</v>
      </c>
      <c r="AH186" s="43">
        <v>44.154701000000003</v>
      </c>
      <c r="AI186" s="35" t="s">
        <v>12</v>
      </c>
    </row>
    <row r="187" spans="1:35" ht="15" customHeight="1" x14ac:dyDescent="0.35">
      <c r="A187" s="29" t="s">
        <v>124</v>
      </c>
      <c r="B187" s="33" t="s">
        <v>37</v>
      </c>
      <c r="C187" s="43">
        <v>0</v>
      </c>
      <c r="D187" s="43">
        <v>0</v>
      </c>
      <c r="E187" s="43">
        <v>0</v>
      </c>
      <c r="F187" s="43">
        <v>0</v>
      </c>
      <c r="G187" s="43">
        <v>0</v>
      </c>
      <c r="H187" s="43">
        <v>0</v>
      </c>
      <c r="I187" s="43">
        <v>0</v>
      </c>
      <c r="J187" s="43">
        <v>0</v>
      </c>
      <c r="K187" s="43">
        <v>0</v>
      </c>
      <c r="L187" s="43">
        <v>0</v>
      </c>
      <c r="M187" s="43">
        <v>0</v>
      </c>
      <c r="N187" s="43">
        <v>0</v>
      </c>
      <c r="O187" s="43">
        <v>0</v>
      </c>
      <c r="P187" s="43">
        <v>0</v>
      </c>
      <c r="Q187" s="43">
        <v>0</v>
      </c>
      <c r="R187" s="43">
        <v>0</v>
      </c>
      <c r="S187" s="43">
        <v>0</v>
      </c>
      <c r="T187" s="43">
        <v>0</v>
      </c>
      <c r="U187" s="43">
        <v>0</v>
      </c>
      <c r="V187" s="43">
        <v>0</v>
      </c>
      <c r="W187" s="43">
        <v>0</v>
      </c>
      <c r="X187" s="43">
        <v>0</v>
      </c>
      <c r="Y187" s="43">
        <v>0</v>
      </c>
      <c r="Z187" s="43">
        <v>0</v>
      </c>
      <c r="AA187" s="43">
        <v>0</v>
      </c>
      <c r="AB187" s="43">
        <v>0</v>
      </c>
      <c r="AC187" s="43">
        <v>0</v>
      </c>
      <c r="AD187" s="43">
        <v>0</v>
      </c>
      <c r="AE187" s="43">
        <v>0</v>
      </c>
      <c r="AF187" s="43">
        <v>0</v>
      </c>
      <c r="AG187" s="43">
        <v>0</v>
      </c>
      <c r="AH187" s="43">
        <v>0</v>
      </c>
      <c r="AI187" s="35" t="s">
        <v>12</v>
      </c>
    </row>
    <row r="188" spans="1:35" ht="15" customHeight="1" x14ac:dyDescent="0.35">
      <c r="A188" s="29" t="s">
        <v>123</v>
      </c>
      <c r="B188" s="33" t="s">
        <v>35</v>
      </c>
      <c r="C188" s="43">
        <v>0</v>
      </c>
      <c r="D188" s="43">
        <v>0</v>
      </c>
      <c r="E188" s="43">
        <v>0</v>
      </c>
      <c r="F188" s="43">
        <v>0</v>
      </c>
      <c r="G188" s="43">
        <v>0</v>
      </c>
      <c r="H188" s="43">
        <v>0</v>
      </c>
      <c r="I188" s="43">
        <v>0</v>
      </c>
      <c r="J188" s="43">
        <v>0</v>
      </c>
      <c r="K188" s="43">
        <v>0</v>
      </c>
      <c r="L188" s="43">
        <v>0</v>
      </c>
      <c r="M188" s="43">
        <v>0</v>
      </c>
      <c r="N188" s="43">
        <v>0</v>
      </c>
      <c r="O188" s="43">
        <v>0</v>
      </c>
      <c r="P188" s="43">
        <v>0</v>
      </c>
      <c r="Q188" s="43">
        <v>0</v>
      </c>
      <c r="R188" s="43">
        <v>0</v>
      </c>
      <c r="S188" s="43">
        <v>0</v>
      </c>
      <c r="T188" s="43">
        <v>0</v>
      </c>
      <c r="U188" s="43">
        <v>0</v>
      </c>
      <c r="V188" s="43">
        <v>0</v>
      </c>
      <c r="W188" s="43">
        <v>0</v>
      </c>
      <c r="X188" s="43">
        <v>0</v>
      </c>
      <c r="Y188" s="43">
        <v>0</v>
      </c>
      <c r="Z188" s="43">
        <v>0</v>
      </c>
      <c r="AA188" s="43">
        <v>0</v>
      </c>
      <c r="AB188" s="43">
        <v>0</v>
      </c>
      <c r="AC188" s="43">
        <v>0</v>
      </c>
      <c r="AD188" s="43">
        <v>0</v>
      </c>
      <c r="AE188" s="43">
        <v>0</v>
      </c>
      <c r="AF188" s="43">
        <v>0</v>
      </c>
      <c r="AG188" s="43">
        <v>0</v>
      </c>
      <c r="AH188" s="43">
        <v>0</v>
      </c>
      <c r="AI188" s="35" t="s">
        <v>12</v>
      </c>
    </row>
    <row r="189" spans="1:35" ht="15" customHeight="1" x14ac:dyDescent="0.35">
      <c r="A189" s="29" t="s">
        <v>122</v>
      </c>
      <c r="B189" s="33" t="s">
        <v>33</v>
      </c>
      <c r="C189" s="43">
        <v>0</v>
      </c>
      <c r="D189" s="43">
        <v>0</v>
      </c>
      <c r="E189" s="43">
        <v>0</v>
      </c>
      <c r="F189" s="43">
        <v>0</v>
      </c>
      <c r="G189" s="43">
        <v>0</v>
      </c>
      <c r="H189" s="43">
        <v>0</v>
      </c>
      <c r="I189" s="43">
        <v>0</v>
      </c>
      <c r="J189" s="43">
        <v>0</v>
      </c>
      <c r="K189" s="43">
        <v>0</v>
      </c>
      <c r="L189" s="43">
        <v>0</v>
      </c>
      <c r="M189" s="43">
        <v>0</v>
      </c>
      <c r="N189" s="43">
        <v>0</v>
      </c>
      <c r="O189" s="43">
        <v>0</v>
      </c>
      <c r="P189" s="43">
        <v>0</v>
      </c>
      <c r="Q189" s="43">
        <v>0</v>
      </c>
      <c r="R189" s="43">
        <v>0</v>
      </c>
      <c r="S189" s="43">
        <v>0</v>
      </c>
      <c r="T189" s="43">
        <v>0</v>
      </c>
      <c r="U189" s="43">
        <v>0</v>
      </c>
      <c r="V189" s="43">
        <v>0</v>
      </c>
      <c r="W189" s="43">
        <v>0</v>
      </c>
      <c r="X189" s="43">
        <v>0</v>
      </c>
      <c r="Y189" s="43">
        <v>0</v>
      </c>
      <c r="Z189" s="43">
        <v>0</v>
      </c>
      <c r="AA189" s="43">
        <v>0</v>
      </c>
      <c r="AB189" s="43">
        <v>0</v>
      </c>
      <c r="AC189" s="43">
        <v>0</v>
      </c>
      <c r="AD189" s="43">
        <v>0</v>
      </c>
      <c r="AE189" s="43">
        <v>0</v>
      </c>
      <c r="AF189" s="43">
        <v>0</v>
      </c>
      <c r="AG189" s="43">
        <v>0</v>
      </c>
      <c r="AH189" s="43">
        <v>0</v>
      </c>
      <c r="AI189" s="35" t="s">
        <v>12</v>
      </c>
    </row>
    <row r="190" spans="1:35" ht="15" customHeight="1" x14ac:dyDescent="0.35">
      <c r="A190" s="29" t="s">
        <v>686</v>
      </c>
      <c r="B190" s="33" t="s">
        <v>558</v>
      </c>
      <c r="C190" s="43">
        <v>0</v>
      </c>
      <c r="D190" s="43">
        <v>0</v>
      </c>
      <c r="E190" s="43">
        <v>45.686183999999997</v>
      </c>
      <c r="F190" s="43">
        <v>45.197186000000002</v>
      </c>
      <c r="G190" s="43">
        <v>44.812958000000002</v>
      </c>
      <c r="H190" s="43">
        <v>44.435870999999999</v>
      </c>
      <c r="I190" s="43">
        <v>44.271701999999998</v>
      </c>
      <c r="J190" s="43">
        <v>44.050193999999998</v>
      </c>
      <c r="K190" s="43">
        <v>43.849350000000001</v>
      </c>
      <c r="L190" s="43">
        <v>43.673999999999999</v>
      </c>
      <c r="M190" s="43">
        <v>43.525784000000002</v>
      </c>
      <c r="N190" s="43">
        <v>43.403968999999996</v>
      </c>
      <c r="O190" s="43">
        <v>43.306164000000003</v>
      </c>
      <c r="P190" s="43">
        <v>43.229438999999999</v>
      </c>
      <c r="Q190" s="43">
        <v>43.170914000000003</v>
      </c>
      <c r="R190" s="43">
        <v>43.062725</v>
      </c>
      <c r="S190" s="43">
        <v>42.955401999999999</v>
      </c>
      <c r="T190" s="43">
        <v>42.860518999999996</v>
      </c>
      <c r="U190" s="43">
        <v>42.777138000000001</v>
      </c>
      <c r="V190" s="43">
        <v>42.704590000000003</v>
      </c>
      <c r="W190" s="43">
        <v>42.642417999999999</v>
      </c>
      <c r="X190" s="43">
        <v>42.589900999999998</v>
      </c>
      <c r="Y190" s="43">
        <v>42.588158</v>
      </c>
      <c r="Z190" s="43">
        <v>42.586784000000002</v>
      </c>
      <c r="AA190" s="43">
        <v>42.585735</v>
      </c>
      <c r="AB190" s="43">
        <v>42.584952999999999</v>
      </c>
      <c r="AC190" s="43">
        <v>42.58437</v>
      </c>
      <c r="AD190" s="43">
        <v>42.584045000000003</v>
      </c>
      <c r="AE190" s="43">
        <v>42.583942</v>
      </c>
      <c r="AF190" s="43">
        <v>42.584000000000003</v>
      </c>
      <c r="AG190" s="43">
        <v>42.584254999999999</v>
      </c>
      <c r="AH190" s="43">
        <v>42.578437999999998</v>
      </c>
      <c r="AI190" s="35" t="s">
        <v>12</v>
      </c>
    </row>
    <row r="191" spans="1:35" ht="15" customHeight="1" x14ac:dyDescent="0.35">
      <c r="A191" s="29" t="s">
        <v>687</v>
      </c>
      <c r="B191" s="33" t="s">
        <v>559</v>
      </c>
      <c r="C191" s="43">
        <v>0</v>
      </c>
      <c r="D191" s="43">
        <v>0</v>
      </c>
      <c r="E191" s="43">
        <v>60.595534999999998</v>
      </c>
      <c r="F191" s="43">
        <v>59.993876999999998</v>
      </c>
      <c r="G191" s="43">
        <v>59.490734000000003</v>
      </c>
      <c r="H191" s="43">
        <v>59.025131000000002</v>
      </c>
      <c r="I191" s="43">
        <v>58.866126999999999</v>
      </c>
      <c r="J191" s="43">
        <v>58.584595</v>
      </c>
      <c r="K191" s="43">
        <v>58.328690000000002</v>
      </c>
      <c r="L191" s="43">
        <v>58.103400999999998</v>
      </c>
      <c r="M191" s="43">
        <v>57.910423000000002</v>
      </c>
      <c r="N191" s="43">
        <v>57.748877999999998</v>
      </c>
      <c r="O191" s="43">
        <v>57.615898000000001</v>
      </c>
      <c r="P191" s="43">
        <v>57.508063999999997</v>
      </c>
      <c r="Q191" s="43">
        <v>57.421925000000002</v>
      </c>
      <c r="R191" s="43">
        <v>57.289119999999997</v>
      </c>
      <c r="S191" s="43">
        <v>57.159846999999999</v>
      </c>
      <c r="T191" s="43">
        <v>57.045406</v>
      </c>
      <c r="U191" s="43">
        <v>56.944659999999999</v>
      </c>
      <c r="V191" s="43">
        <v>56.856869000000003</v>
      </c>
      <c r="W191" s="43">
        <v>56.781464</v>
      </c>
      <c r="X191" s="43">
        <v>56.717606000000004</v>
      </c>
      <c r="Y191" s="43">
        <v>56.714302000000004</v>
      </c>
      <c r="Z191" s="43">
        <v>56.711436999999997</v>
      </c>
      <c r="AA191" s="43">
        <v>56.708953999999999</v>
      </c>
      <c r="AB191" s="43">
        <v>56.706798999999997</v>
      </c>
      <c r="AC191" s="43">
        <v>56.704937000000001</v>
      </c>
      <c r="AD191" s="43">
        <v>56.703372999999999</v>
      </c>
      <c r="AE191" s="43">
        <v>56.702072000000001</v>
      </c>
      <c r="AF191" s="43">
        <v>56.701000000000001</v>
      </c>
      <c r="AG191" s="43">
        <v>56.700133999999998</v>
      </c>
      <c r="AH191" s="43">
        <v>56.693252999999999</v>
      </c>
      <c r="AI191" s="35" t="s">
        <v>12</v>
      </c>
    </row>
    <row r="193" spans="1:35" ht="15" customHeight="1" x14ac:dyDescent="0.35">
      <c r="A193" s="25"/>
      <c r="B193" s="32" t="s">
        <v>121</v>
      </c>
      <c r="C193" s="25"/>
      <c r="D193" s="25"/>
      <c r="E193" s="25"/>
      <c r="F193" s="25"/>
      <c r="G193" s="25"/>
      <c r="H193" s="25"/>
      <c r="I193" s="25"/>
      <c r="J193" s="25"/>
      <c r="K193" s="25"/>
      <c r="L193" s="25"/>
      <c r="M193" s="25"/>
      <c r="N193" s="25"/>
      <c r="O193" s="25"/>
      <c r="P193" s="25"/>
      <c r="Q193" s="25"/>
      <c r="R193" s="25"/>
      <c r="S193" s="25"/>
      <c r="T193" s="25"/>
      <c r="U193" s="25"/>
      <c r="V193" s="25"/>
      <c r="W193" s="25"/>
      <c r="X193" s="25"/>
      <c r="Y193" s="25"/>
      <c r="Z193" s="25"/>
      <c r="AA193" s="25"/>
      <c r="AB193" s="25"/>
      <c r="AC193" s="25"/>
      <c r="AD193" s="25"/>
      <c r="AE193" s="25"/>
      <c r="AF193" s="25"/>
      <c r="AG193" s="25"/>
      <c r="AH193" s="25"/>
      <c r="AI193" s="25"/>
    </row>
    <row r="194" spans="1:35" ht="15" customHeight="1" x14ac:dyDescent="0.35">
      <c r="A194" s="29" t="s">
        <v>120</v>
      </c>
      <c r="B194" s="33" t="s">
        <v>55</v>
      </c>
      <c r="C194" s="43">
        <v>0</v>
      </c>
      <c r="D194" s="43">
        <v>0</v>
      </c>
      <c r="E194" s="43">
        <v>0</v>
      </c>
      <c r="F194" s="43">
        <v>0</v>
      </c>
      <c r="G194" s="43">
        <v>0</v>
      </c>
      <c r="H194" s="43">
        <v>0</v>
      </c>
      <c r="I194" s="43">
        <v>0</v>
      </c>
      <c r="J194" s="43">
        <v>0</v>
      </c>
      <c r="K194" s="43">
        <v>0</v>
      </c>
      <c r="L194" s="43">
        <v>0</v>
      </c>
      <c r="M194" s="43">
        <v>0</v>
      </c>
      <c r="N194" s="43">
        <v>0</v>
      </c>
      <c r="O194" s="43">
        <v>0</v>
      </c>
      <c r="P194" s="43">
        <v>0</v>
      </c>
      <c r="Q194" s="43">
        <v>0</v>
      </c>
      <c r="R194" s="43">
        <v>0</v>
      </c>
      <c r="S194" s="43">
        <v>0</v>
      </c>
      <c r="T194" s="43">
        <v>0</v>
      </c>
      <c r="U194" s="43">
        <v>0</v>
      </c>
      <c r="V194" s="43">
        <v>0</v>
      </c>
      <c r="W194" s="43">
        <v>0</v>
      </c>
      <c r="X194" s="43">
        <v>0</v>
      </c>
      <c r="Y194" s="43">
        <v>0</v>
      </c>
      <c r="Z194" s="43">
        <v>0</v>
      </c>
      <c r="AA194" s="43">
        <v>0</v>
      </c>
      <c r="AB194" s="43">
        <v>0</v>
      </c>
      <c r="AC194" s="43">
        <v>0</v>
      </c>
      <c r="AD194" s="43">
        <v>0</v>
      </c>
      <c r="AE194" s="43">
        <v>0</v>
      </c>
      <c r="AF194" s="43">
        <v>0</v>
      </c>
      <c r="AG194" s="43">
        <v>0</v>
      </c>
      <c r="AH194" s="43">
        <v>0</v>
      </c>
      <c r="AI194" s="35" t="s">
        <v>12</v>
      </c>
    </row>
    <row r="195" spans="1:35" ht="15" customHeight="1" x14ac:dyDescent="0.35">
      <c r="A195" s="29" t="s">
        <v>119</v>
      </c>
      <c r="B195" s="33" t="s">
        <v>53</v>
      </c>
      <c r="C195" s="43">
        <v>0</v>
      </c>
      <c r="D195" s="43">
        <v>60.170326000000003</v>
      </c>
      <c r="E195" s="43">
        <v>59.333857999999999</v>
      </c>
      <c r="F195" s="43">
        <v>58.508118000000003</v>
      </c>
      <c r="G195" s="43">
        <v>57.851154000000001</v>
      </c>
      <c r="H195" s="43">
        <v>57.387675999999999</v>
      </c>
      <c r="I195" s="43">
        <v>56.991722000000003</v>
      </c>
      <c r="J195" s="43">
        <v>56.742851000000002</v>
      </c>
      <c r="K195" s="43">
        <v>56.517673000000002</v>
      </c>
      <c r="L195" s="43">
        <v>56.313980000000001</v>
      </c>
      <c r="M195" s="43">
        <v>56.13158</v>
      </c>
      <c r="N195" s="43">
        <v>55.969856</v>
      </c>
      <c r="O195" s="43">
        <v>55.8279</v>
      </c>
      <c r="P195" s="43">
        <v>55.705021000000002</v>
      </c>
      <c r="Q195" s="43">
        <v>55.599808000000003</v>
      </c>
      <c r="R195" s="43">
        <v>55.445399999999999</v>
      </c>
      <c r="S195" s="43">
        <v>55.294204999999998</v>
      </c>
      <c r="T195" s="43">
        <v>55.158954999999999</v>
      </c>
      <c r="U195" s="43">
        <v>55.039378999999997</v>
      </c>
      <c r="V195" s="43">
        <v>54.935336999999997</v>
      </c>
      <c r="W195" s="43">
        <v>54.846541999999999</v>
      </c>
      <c r="X195" s="43">
        <v>54.772773999999998</v>
      </c>
      <c r="Y195" s="43">
        <v>54.766666000000001</v>
      </c>
      <c r="Z195" s="43">
        <v>54.761130999999999</v>
      </c>
      <c r="AA195" s="43">
        <v>54.756092000000002</v>
      </c>
      <c r="AB195" s="43">
        <v>54.751494999999998</v>
      </c>
      <c r="AC195" s="43">
        <v>54.747261000000002</v>
      </c>
      <c r="AD195" s="43">
        <v>54.743397000000002</v>
      </c>
      <c r="AE195" s="43">
        <v>54.739894999999997</v>
      </c>
      <c r="AF195" s="43">
        <v>54.736663999999998</v>
      </c>
      <c r="AG195" s="43">
        <v>54.733677</v>
      </c>
      <c r="AH195" s="43">
        <v>54.724705</v>
      </c>
      <c r="AI195" s="35" t="s">
        <v>12</v>
      </c>
    </row>
    <row r="196" spans="1:35" ht="15" customHeight="1" x14ac:dyDescent="0.35">
      <c r="A196" s="29" t="s">
        <v>118</v>
      </c>
      <c r="B196" s="33" t="s">
        <v>51</v>
      </c>
      <c r="C196" s="43">
        <v>48.892100999999997</v>
      </c>
      <c r="D196" s="43">
        <v>48.336395000000003</v>
      </c>
      <c r="E196" s="43">
        <v>47.643703000000002</v>
      </c>
      <c r="F196" s="43">
        <v>46.999881999999999</v>
      </c>
      <c r="G196" s="43">
        <v>46.437716999999999</v>
      </c>
      <c r="H196" s="43">
        <v>46.038170000000001</v>
      </c>
      <c r="I196" s="43">
        <v>45.774982000000001</v>
      </c>
      <c r="J196" s="43">
        <v>45.538398999999998</v>
      </c>
      <c r="K196" s="43">
        <v>45.323127999999997</v>
      </c>
      <c r="L196" s="43">
        <v>45.129333000000003</v>
      </c>
      <c r="M196" s="43">
        <v>44.956645999999999</v>
      </c>
      <c r="N196" s="43">
        <v>44.804028000000002</v>
      </c>
      <c r="O196" s="43">
        <v>44.670310999999998</v>
      </c>
      <c r="P196" s="43">
        <v>44.554554000000003</v>
      </c>
      <c r="Q196" s="43">
        <v>44.455897999999998</v>
      </c>
      <c r="R196" s="43">
        <v>44.307471999999997</v>
      </c>
      <c r="S196" s="43">
        <v>44.161732000000001</v>
      </c>
      <c r="T196" s="43">
        <v>44.031509</v>
      </c>
      <c r="U196" s="43">
        <v>43.916355000000003</v>
      </c>
      <c r="V196" s="43">
        <v>43.816066999999997</v>
      </c>
      <c r="W196" s="43">
        <v>43.730559999999997</v>
      </c>
      <c r="X196" s="43">
        <v>43.659438999999999</v>
      </c>
      <c r="Y196" s="43">
        <v>43.653790000000001</v>
      </c>
      <c r="Z196" s="43">
        <v>43.648696999999999</v>
      </c>
      <c r="AA196" s="43">
        <v>43.644061999999998</v>
      </c>
      <c r="AB196" s="43">
        <v>43.639851</v>
      </c>
      <c r="AC196" s="43">
        <v>43.636017000000002</v>
      </c>
      <c r="AD196" s="43">
        <v>43.632519000000002</v>
      </c>
      <c r="AE196" s="43">
        <v>43.629356000000001</v>
      </c>
      <c r="AF196" s="43">
        <v>43.626491999999999</v>
      </c>
      <c r="AG196" s="43">
        <v>43.623859000000003</v>
      </c>
      <c r="AH196" s="43">
        <v>43.615273000000002</v>
      </c>
      <c r="AI196" s="35">
        <v>-3.6770000000000001E-3</v>
      </c>
    </row>
    <row r="197" spans="1:35" ht="15" customHeight="1" x14ac:dyDescent="0.35">
      <c r="A197" s="29" t="s">
        <v>117</v>
      </c>
      <c r="B197" s="33" t="s">
        <v>49</v>
      </c>
      <c r="C197" s="43">
        <v>49.143154000000003</v>
      </c>
      <c r="D197" s="43">
        <v>48.562218000000001</v>
      </c>
      <c r="E197" s="43">
        <v>47.836514000000001</v>
      </c>
      <c r="F197" s="43">
        <v>47.139201999999997</v>
      </c>
      <c r="G197" s="43">
        <v>46.544803999999999</v>
      </c>
      <c r="H197" s="43">
        <v>46.006798000000003</v>
      </c>
      <c r="I197" s="43">
        <v>45.605246999999999</v>
      </c>
      <c r="J197" s="43">
        <v>45.291469999999997</v>
      </c>
      <c r="K197" s="43">
        <v>45.007117999999998</v>
      </c>
      <c r="L197" s="43">
        <v>44.752479999999998</v>
      </c>
      <c r="M197" s="43">
        <v>44.528713000000003</v>
      </c>
      <c r="N197" s="43">
        <v>44.334941999999998</v>
      </c>
      <c r="O197" s="43">
        <v>44.168835000000001</v>
      </c>
      <c r="P197" s="43">
        <v>44.027752</v>
      </c>
      <c r="Q197" s="43">
        <v>43.908965999999999</v>
      </c>
      <c r="R197" s="43">
        <v>43.743969</v>
      </c>
      <c r="S197" s="43">
        <v>43.584957000000003</v>
      </c>
      <c r="T197" s="43">
        <v>43.443427999999997</v>
      </c>
      <c r="U197" s="43">
        <v>43.318443000000002</v>
      </c>
      <c r="V197" s="43">
        <v>43.209446</v>
      </c>
      <c r="W197" s="43">
        <v>43.116019999999999</v>
      </c>
      <c r="X197" s="43">
        <v>43.037506</v>
      </c>
      <c r="Y197" s="43">
        <v>43.031486999999998</v>
      </c>
      <c r="Z197" s="43">
        <v>43.026035</v>
      </c>
      <c r="AA197" s="43">
        <v>43.021061000000003</v>
      </c>
      <c r="AB197" s="43">
        <v>43.016517999999998</v>
      </c>
      <c r="AC197" s="43">
        <v>43.012355999999997</v>
      </c>
      <c r="AD197" s="43">
        <v>43.008544999999998</v>
      </c>
      <c r="AE197" s="43">
        <v>43.005085000000001</v>
      </c>
      <c r="AF197" s="43">
        <v>43.001922999999998</v>
      </c>
      <c r="AG197" s="43">
        <v>42.998997000000003</v>
      </c>
      <c r="AH197" s="43">
        <v>42.990127999999999</v>
      </c>
      <c r="AI197" s="35">
        <v>-4.3059999999999999E-3</v>
      </c>
    </row>
    <row r="198" spans="1:35" ht="15" customHeight="1" x14ac:dyDescent="0.35">
      <c r="A198" s="29" t="s">
        <v>116</v>
      </c>
      <c r="B198" s="33" t="s">
        <v>47</v>
      </c>
      <c r="C198" s="43">
        <v>59.933556000000003</v>
      </c>
      <c r="D198" s="43">
        <v>59.22052</v>
      </c>
      <c r="E198" s="43">
        <v>58.364699999999999</v>
      </c>
      <c r="F198" s="43">
        <v>57.577759</v>
      </c>
      <c r="G198" s="43">
        <v>56.775115999999997</v>
      </c>
      <c r="H198" s="43">
        <v>56.141083000000002</v>
      </c>
      <c r="I198" s="43">
        <v>55.663181000000002</v>
      </c>
      <c r="J198" s="43">
        <v>55.243178999999998</v>
      </c>
      <c r="K198" s="43">
        <v>54.856571000000002</v>
      </c>
      <c r="L198" s="43">
        <v>54.511153999999998</v>
      </c>
      <c r="M198" s="43">
        <v>54.209491999999997</v>
      </c>
      <c r="N198" s="43">
        <v>53.950245000000002</v>
      </c>
      <c r="O198" s="43">
        <v>53.729897000000001</v>
      </c>
      <c r="P198" s="43">
        <v>53.543689999999998</v>
      </c>
      <c r="Q198" s="43">
        <v>53.387290999999998</v>
      </c>
      <c r="R198" s="43">
        <v>53.191943999999999</v>
      </c>
      <c r="S198" s="43">
        <v>53.007015000000003</v>
      </c>
      <c r="T198" s="43">
        <v>52.842934</v>
      </c>
      <c r="U198" s="43">
        <v>52.698093</v>
      </c>
      <c r="V198" s="43">
        <v>52.571536999999999</v>
      </c>
      <c r="W198" s="43">
        <v>52.462569999999999</v>
      </c>
      <c r="X198" s="43">
        <v>52.370060000000002</v>
      </c>
      <c r="Y198" s="43">
        <v>52.362701000000001</v>
      </c>
      <c r="Z198" s="43">
        <v>52.355967999999997</v>
      </c>
      <c r="AA198" s="43">
        <v>52.349777000000003</v>
      </c>
      <c r="AB198" s="43">
        <v>52.344059000000001</v>
      </c>
      <c r="AC198" s="43">
        <v>52.338768000000002</v>
      </c>
      <c r="AD198" s="43">
        <v>52.333880999999998</v>
      </c>
      <c r="AE198" s="43">
        <v>52.329365000000003</v>
      </c>
      <c r="AF198" s="43">
        <v>52.325169000000002</v>
      </c>
      <c r="AG198" s="43">
        <v>52.321243000000003</v>
      </c>
      <c r="AH198" s="43">
        <v>52.311390000000003</v>
      </c>
      <c r="AI198" s="35">
        <v>-4.3779999999999999E-3</v>
      </c>
    </row>
    <row r="199" spans="1:35" ht="15" customHeight="1" x14ac:dyDescent="0.35">
      <c r="A199" s="29" t="s">
        <v>115</v>
      </c>
      <c r="B199" s="33" t="s">
        <v>45</v>
      </c>
      <c r="C199" s="43">
        <v>125.127144</v>
      </c>
      <c r="D199" s="43">
        <v>124.476799</v>
      </c>
      <c r="E199" s="43">
        <v>123.830376</v>
      </c>
      <c r="F199" s="43">
        <v>123.098</v>
      </c>
      <c r="G199" s="43">
        <v>122.359802</v>
      </c>
      <c r="H199" s="43">
        <v>121.88434599999999</v>
      </c>
      <c r="I199" s="43">
        <v>121.505959</v>
      </c>
      <c r="J199" s="43">
        <v>121.121582</v>
      </c>
      <c r="K199" s="43">
        <v>120.77301</v>
      </c>
      <c r="L199" s="43">
        <v>120.46367600000001</v>
      </c>
      <c r="M199" s="43">
        <v>120.196198</v>
      </c>
      <c r="N199" s="43">
        <v>119.968971</v>
      </c>
      <c r="O199" s="43">
        <v>119.778336</v>
      </c>
      <c r="P199" s="43">
        <v>119.619781</v>
      </c>
      <c r="Q199" s="43">
        <v>119.489655</v>
      </c>
      <c r="R199" s="43">
        <v>119.318153</v>
      </c>
      <c r="S199" s="43">
        <v>119.15416</v>
      </c>
      <c r="T199" s="43">
        <v>119.007507</v>
      </c>
      <c r="U199" s="43">
        <v>118.878265</v>
      </c>
      <c r="V199" s="43">
        <v>118.765427</v>
      </c>
      <c r="W199" s="43">
        <v>118.66819</v>
      </c>
      <c r="X199" s="43">
        <v>118.585556</v>
      </c>
      <c r="Y199" s="43">
        <v>118.57963599999999</v>
      </c>
      <c r="Z199" s="43">
        <v>118.57429500000001</v>
      </c>
      <c r="AA199" s="43">
        <v>118.569489</v>
      </c>
      <c r="AB199" s="43">
        <v>118.565071</v>
      </c>
      <c r="AC199" s="43">
        <v>118.56089</v>
      </c>
      <c r="AD199" s="43">
        <v>118.557182</v>
      </c>
      <c r="AE199" s="43">
        <v>118.55381800000001</v>
      </c>
      <c r="AF199" s="43">
        <v>118.550591</v>
      </c>
      <c r="AG199" s="43">
        <v>118.54776</v>
      </c>
      <c r="AH199" s="43">
        <v>118.538864</v>
      </c>
      <c r="AI199" s="35">
        <v>-1.743E-3</v>
      </c>
    </row>
    <row r="200" spans="1:35" ht="15" customHeight="1" x14ac:dyDescent="0.35">
      <c r="A200" s="29" t="s">
        <v>688</v>
      </c>
      <c r="B200" s="33" t="s">
        <v>556</v>
      </c>
      <c r="C200" s="43">
        <v>49.531506</v>
      </c>
      <c r="D200" s="43">
        <v>48.916634000000002</v>
      </c>
      <c r="E200" s="43">
        <v>48.20055</v>
      </c>
      <c r="F200" s="43">
        <v>47.468803000000001</v>
      </c>
      <c r="G200" s="43">
        <v>46.775444</v>
      </c>
      <c r="H200" s="43">
        <v>46.134200999999997</v>
      </c>
      <c r="I200" s="43">
        <v>45.778098999999997</v>
      </c>
      <c r="J200" s="43">
        <v>45.438740000000003</v>
      </c>
      <c r="K200" s="43">
        <v>45.129424999999998</v>
      </c>
      <c r="L200" s="43">
        <v>44.852299000000002</v>
      </c>
      <c r="M200" s="43">
        <v>44.608882999999999</v>
      </c>
      <c r="N200" s="43">
        <v>44.398266</v>
      </c>
      <c r="O200" s="43">
        <v>44.217781000000002</v>
      </c>
      <c r="P200" s="43">
        <v>44.064166999999998</v>
      </c>
      <c r="Q200" s="43">
        <v>43.934921000000003</v>
      </c>
      <c r="R200" s="43">
        <v>43.761127000000002</v>
      </c>
      <c r="S200" s="43">
        <v>43.594067000000003</v>
      </c>
      <c r="T200" s="43">
        <v>43.445445999999997</v>
      </c>
      <c r="U200" s="43">
        <v>43.314190000000004</v>
      </c>
      <c r="V200" s="43">
        <v>43.199660999999999</v>
      </c>
      <c r="W200" s="43">
        <v>43.101394999999997</v>
      </c>
      <c r="X200" s="43">
        <v>43.018630999999999</v>
      </c>
      <c r="Y200" s="43">
        <v>43.012118999999998</v>
      </c>
      <c r="Z200" s="43">
        <v>43.006191000000001</v>
      </c>
      <c r="AA200" s="43">
        <v>43.000767000000003</v>
      </c>
      <c r="AB200" s="43">
        <v>42.995776999999997</v>
      </c>
      <c r="AC200" s="43">
        <v>42.991084999999998</v>
      </c>
      <c r="AD200" s="43">
        <v>42.986823999999999</v>
      </c>
      <c r="AE200" s="43">
        <v>42.982940999999997</v>
      </c>
      <c r="AF200" s="43">
        <v>42.979309000000001</v>
      </c>
      <c r="AG200" s="43">
        <v>42.975982999999999</v>
      </c>
      <c r="AH200" s="43">
        <v>42.966686000000003</v>
      </c>
      <c r="AI200" s="35">
        <v>-4.5760000000000002E-3</v>
      </c>
    </row>
    <row r="201" spans="1:35" ht="15" customHeight="1" x14ac:dyDescent="0.35">
      <c r="A201" s="29" t="s">
        <v>689</v>
      </c>
      <c r="B201" s="33" t="s">
        <v>557</v>
      </c>
      <c r="C201" s="43">
        <v>61.481785000000002</v>
      </c>
      <c r="D201" s="43">
        <v>60.647830999999996</v>
      </c>
      <c r="E201" s="43">
        <v>59.732281</v>
      </c>
      <c r="F201" s="43">
        <v>58.900886999999997</v>
      </c>
      <c r="G201" s="43">
        <v>58.111263000000001</v>
      </c>
      <c r="H201" s="43">
        <v>57.297030999999997</v>
      </c>
      <c r="I201" s="43">
        <v>57.098553000000003</v>
      </c>
      <c r="J201" s="43">
        <v>56.686942999999999</v>
      </c>
      <c r="K201" s="43">
        <v>56.306789000000002</v>
      </c>
      <c r="L201" s="43">
        <v>55.964832000000001</v>
      </c>
      <c r="M201" s="43">
        <v>55.662833999999997</v>
      </c>
      <c r="N201" s="43">
        <v>55.399501999999998</v>
      </c>
      <c r="O201" s="43">
        <v>55.171692</v>
      </c>
      <c r="P201" s="43">
        <v>54.975974999999998</v>
      </c>
      <c r="Q201" s="43">
        <v>54.809963000000003</v>
      </c>
      <c r="R201" s="43">
        <v>54.603442999999999</v>
      </c>
      <c r="S201" s="43">
        <v>54.407359999999997</v>
      </c>
      <c r="T201" s="43">
        <v>54.232821999999999</v>
      </c>
      <c r="U201" s="43">
        <v>54.078567999999997</v>
      </c>
      <c r="V201" s="43">
        <v>53.943821</v>
      </c>
      <c r="W201" s="43">
        <v>53.827888000000002</v>
      </c>
      <c r="X201" s="43">
        <v>53.730063999999999</v>
      </c>
      <c r="Y201" s="43">
        <v>53.721294</v>
      </c>
      <c r="Z201" s="43">
        <v>53.713219000000002</v>
      </c>
      <c r="AA201" s="43">
        <v>53.705761000000003</v>
      </c>
      <c r="AB201" s="43">
        <v>53.698830000000001</v>
      </c>
      <c r="AC201" s="43">
        <v>53.691989999999997</v>
      </c>
      <c r="AD201" s="43">
        <v>53.685825000000001</v>
      </c>
      <c r="AE201" s="43">
        <v>53.680126000000001</v>
      </c>
      <c r="AF201" s="43">
        <v>53.674487999999997</v>
      </c>
      <c r="AG201" s="43">
        <v>53.669421999999997</v>
      </c>
      <c r="AH201" s="43">
        <v>53.658306000000003</v>
      </c>
      <c r="AI201" s="35">
        <v>-4.3810000000000003E-3</v>
      </c>
    </row>
    <row r="202" spans="1:35" ht="15" customHeight="1" x14ac:dyDescent="0.35">
      <c r="A202" s="29" t="s">
        <v>114</v>
      </c>
      <c r="B202" s="33" t="s">
        <v>43</v>
      </c>
      <c r="C202" s="43">
        <v>56.104599</v>
      </c>
      <c r="D202" s="43">
        <v>55.202075999999998</v>
      </c>
      <c r="E202" s="43">
        <v>54.317093</v>
      </c>
      <c r="F202" s="43">
        <v>53.291640999999998</v>
      </c>
      <c r="G202" s="43">
        <v>52.479908000000002</v>
      </c>
      <c r="H202" s="43">
        <v>51.551974999999999</v>
      </c>
      <c r="I202" s="43">
        <v>51.209128999999997</v>
      </c>
      <c r="J202" s="43">
        <v>50.929656999999999</v>
      </c>
      <c r="K202" s="43">
        <v>50.670914000000003</v>
      </c>
      <c r="L202" s="43">
        <v>50.434113000000004</v>
      </c>
      <c r="M202" s="43">
        <v>50.218741999999999</v>
      </c>
      <c r="N202" s="43">
        <v>50.024067000000002</v>
      </c>
      <c r="O202" s="43">
        <v>49.850658000000003</v>
      </c>
      <c r="P202" s="43">
        <v>49.696632000000001</v>
      </c>
      <c r="Q202" s="43">
        <v>49.561549999999997</v>
      </c>
      <c r="R202" s="43">
        <v>49.378860000000003</v>
      </c>
      <c r="S202" s="43">
        <v>49.201518999999998</v>
      </c>
      <c r="T202" s="43">
        <v>49.042529999999999</v>
      </c>
      <c r="U202" s="43">
        <v>48.901648999999999</v>
      </c>
      <c r="V202" s="43">
        <v>48.779015000000001</v>
      </c>
      <c r="W202" s="43">
        <v>48.674320000000002</v>
      </c>
      <c r="X202" s="43">
        <v>48.587516999999998</v>
      </c>
      <c r="Y202" s="43">
        <v>48.579033000000003</v>
      </c>
      <c r="Z202" s="43">
        <v>48.571266000000001</v>
      </c>
      <c r="AA202" s="43">
        <v>48.564109999999999</v>
      </c>
      <c r="AB202" s="43">
        <v>48.557468</v>
      </c>
      <c r="AC202" s="43">
        <v>48.551273000000002</v>
      </c>
      <c r="AD202" s="43">
        <v>48.545527999999997</v>
      </c>
      <c r="AE202" s="43">
        <v>48.540210999999999</v>
      </c>
      <c r="AF202" s="43">
        <v>48.535224999999997</v>
      </c>
      <c r="AG202" s="43">
        <v>48.530552</v>
      </c>
      <c r="AH202" s="43">
        <v>48.519962</v>
      </c>
      <c r="AI202" s="35">
        <v>-4.6740000000000002E-3</v>
      </c>
    </row>
    <row r="203" spans="1:35" ht="15" customHeight="1" x14ac:dyDescent="0.35">
      <c r="A203" s="29" t="s">
        <v>113</v>
      </c>
      <c r="B203" s="33" t="s">
        <v>41</v>
      </c>
      <c r="C203" s="43">
        <v>0</v>
      </c>
      <c r="D203" s="43">
        <v>0</v>
      </c>
      <c r="E203" s="43">
        <v>0</v>
      </c>
      <c r="F203" s="43">
        <v>0</v>
      </c>
      <c r="G203" s="43">
        <v>0</v>
      </c>
      <c r="H203" s="43">
        <v>0</v>
      </c>
      <c r="I203" s="43">
        <v>0</v>
      </c>
      <c r="J203" s="43">
        <v>0</v>
      </c>
      <c r="K203" s="43">
        <v>0</v>
      </c>
      <c r="L203" s="43">
        <v>0</v>
      </c>
      <c r="M203" s="43">
        <v>0</v>
      </c>
      <c r="N203" s="43">
        <v>0</v>
      </c>
      <c r="O203" s="43">
        <v>0</v>
      </c>
      <c r="P203" s="43">
        <v>0</v>
      </c>
      <c r="Q203" s="43">
        <v>0</v>
      </c>
      <c r="R203" s="43">
        <v>0</v>
      </c>
      <c r="S203" s="43">
        <v>0</v>
      </c>
      <c r="T203" s="43">
        <v>0</v>
      </c>
      <c r="U203" s="43">
        <v>0</v>
      </c>
      <c r="V203" s="43">
        <v>0</v>
      </c>
      <c r="W203" s="43">
        <v>0</v>
      </c>
      <c r="X203" s="43">
        <v>0</v>
      </c>
      <c r="Y203" s="43">
        <v>0</v>
      </c>
      <c r="Z203" s="43">
        <v>0</v>
      </c>
      <c r="AA203" s="43">
        <v>0</v>
      </c>
      <c r="AB203" s="43">
        <v>0</v>
      </c>
      <c r="AC203" s="43">
        <v>0</v>
      </c>
      <c r="AD203" s="43">
        <v>0</v>
      </c>
      <c r="AE203" s="43">
        <v>0</v>
      </c>
      <c r="AF203" s="43">
        <v>0</v>
      </c>
      <c r="AG203" s="43">
        <v>0</v>
      </c>
      <c r="AH203" s="43">
        <v>0</v>
      </c>
      <c r="AI203" s="35" t="s">
        <v>12</v>
      </c>
    </row>
    <row r="204" spans="1:35" ht="15" customHeight="1" x14ac:dyDescent="0.35">
      <c r="A204" s="29" t="s">
        <v>112</v>
      </c>
      <c r="B204" s="33" t="s">
        <v>39</v>
      </c>
      <c r="C204" s="43">
        <v>0</v>
      </c>
      <c r="D204" s="43">
        <v>0</v>
      </c>
      <c r="E204" s="43">
        <v>56.044933</v>
      </c>
      <c r="F204" s="43">
        <v>55.191901999999999</v>
      </c>
      <c r="G204" s="43">
        <v>54.500301</v>
      </c>
      <c r="H204" s="43">
        <v>53.775688000000002</v>
      </c>
      <c r="I204" s="43">
        <v>53.521641000000002</v>
      </c>
      <c r="J204" s="43">
        <v>53.193325000000002</v>
      </c>
      <c r="K204" s="43">
        <v>52.888702000000002</v>
      </c>
      <c r="L204" s="43">
        <v>52.608856000000003</v>
      </c>
      <c r="M204" s="43">
        <v>52.353209999999997</v>
      </c>
      <c r="N204" s="43">
        <v>52.120995000000001</v>
      </c>
      <c r="O204" s="43">
        <v>51.912421999999999</v>
      </c>
      <c r="P204" s="43">
        <v>51.725662</v>
      </c>
      <c r="Q204" s="43">
        <v>51.560550999999997</v>
      </c>
      <c r="R204" s="43">
        <v>51.350383999999998</v>
      </c>
      <c r="S204" s="43">
        <v>51.147857999999999</v>
      </c>
      <c r="T204" s="43">
        <v>50.966290000000001</v>
      </c>
      <c r="U204" s="43">
        <v>50.805458000000002</v>
      </c>
      <c r="V204" s="43">
        <v>50.665283000000002</v>
      </c>
      <c r="W204" s="43">
        <v>50.545569999999998</v>
      </c>
      <c r="X204" s="43">
        <v>50.446182</v>
      </c>
      <c r="Y204" s="43">
        <v>50.43573</v>
      </c>
      <c r="Z204" s="43">
        <v>50.426048000000002</v>
      </c>
      <c r="AA204" s="43">
        <v>50.417057</v>
      </c>
      <c r="AB204" s="43">
        <v>50.408656999999998</v>
      </c>
      <c r="AC204" s="43">
        <v>50.400761000000003</v>
      </c>
      <c r="AD204" s="43">
        <v>50.393394000000001</v>
      </c>
      <c r="AE204" s="43">
        <v>50.386493999999999</v>
      </c>
      <c r="AF204" s="43">
        <v>50.379981999999998</v>
      </c>
      <c r="AG204" s="43">
        <v>50.373806000000002</v>
      </c>
      <c r="AH204" s="43">
        <v>50.361755000000002</v>
      </c>
      <c r="AI204" s="35" t="s">
        <v>12</v>
      </c>
    </row>
    <row r="205" spans="1:35" ht="15" customHeight="1" x14ac:dyDescent="0.35">
      <c r="A205" s="29" t="s">
        <v>111</v>
      </c>
      <c r="B205" s="33" t="s">
        <v>37</v>
      </c>
      <c r="C205" s="43">
        <v>0</v>
      </c>
      <c r="D205" s="43">
        <v>0</v>
      </c>
      <c r="E205" s="43">
        <v>0</v>
      </c>
      <c r="F205" s="43">
        <v>0</v>
      </c>
      <c r="G205" s="43">
        <v>0</v>
      </c>
      <c r="H205" s="43">
        <v>0</v>
      </c>
      <c r="I205" s="43">
        <v>0</v>
      </c>
      <c r="J205" s="43">
        <v>0</v>
      </c>
      <c r="K205" s="43">
        <v>0</v>
      </c>
      <c r="L205" s="43">
        <v>0</v>
      </c>
      <c r="M205" s="43">
        <v>0</v>
      </c>
      <c r="N205" s="43">
        <v>0</v>
      </c>
      <c r="O205" s="43">
        <v>0</v>
      </c>
      <c r="P205" s="43">
        <v>0</v>
      </c>
      <c r="Q205" s="43">
        <v>0</v>
      </c>
      <c r="R205" s="43">
        <v>0</v>
      </c>
      <c r="S205" s="43">
        <v>0</v>
      </c>
      <c r="T205" s="43">
        <v>0</v>
      </c>
      <c r="U205" s="43">
        <v>0</v>
      </c>
      <c r="V205" s="43">
        <v>0</v>
      </c>
      <c r="W205" s="43">
        <v>0</v>
      </c>
      <c r="X205" s="43">
        <v>0</v>
      </c>
      <c r="Y205" s="43">
        <v>0</v>
      </c>
      <c r="Z205" s="43">
        <v>0</v>
      </c>
      <c r="AA205" s="43">
        <v>0</v>
      </c>
      <c r="AB205" s="43">
        <v>0</v>
      </c>
      <c r="AC205" s="43">
        <v>0</v>
      </c>
      <c r="AD205" s="43">
        <v>0</v>
      </c>
      <c r="AE205" s="43">
        <v>0</v>
      </c>
      <c r="AF205" s="43">
        <v>0</v>
      </c>
      <c r="AG205" s="43">
        <v>0</v>
      </c>
      <c r="AH205" s="43">
        <v>0</v>
      </c>
      <c r="AI205" s="35" t="s">
        <v>12</v>
      </c>
    </row>
    <row r="206" spans="1:35" ht="15" customHeight="1" x14ac:dyDescent="0.35">
      <c r="A206" s="29" t="s">
        <v>110</v>
      </c>
      <c r="B206" s="33" t="s">
        <v>35</v>
      </c>
      <c r="C206" s="43">
        <v>60.032772000000001</v>
      </c>
      <c r="D206" s="43">
        <v>59.004620000000003</v>
      </c>
      <c r="E206" s="43">
        <v>58.052166</v>
      </c>
      <c r="F206" s="43">
        <v>56.872489999999999</v>
      </c>
      <c r="G206" s="43">
        <v>55.934123999999997</v>
      </c>
      <c r="H206" s="43">
        <v>55.082267999999999</v>
      </c>
      <c r="I206" s="43">
        <v>54.918705000000003</v>
      </c>
      <c r="J206" s="43">
        <v>54.630169000000002</v>
      </c>
      <c r="K206" s="43">
        <v>54.363284999999998</v>
      </c>
      <c r="L206" s="43">
        <v>54.118808999999999</v>
      </c>
      <c r="M206" s="43">
        <v>53.896281999999999</v>
      </c>
      <c r="N206" s="43">
        <v>53.695025999999999</v>
      </c>
      <c r="O206" s="43">
        <v>53.514823999999997</v>
      </c>
      <c r="P206" s="43">
        <v>53.354419999999998</v>
      </c>
      <c r="Q206" s="43">
        <v>53.213467000000001</v>
      </c>
      <c r="R206" s="43">
        <v>53.025298999999997</v>
      </c>
      <c r="S206" s="43">
        <v>52.842941000000003</v>
      </c>
      <c r="T206" s="43">
        <v>52.679462000000001</v>
      </c>
      <c r="U206" s="43">
        <v>52.534748</v>
      </c>
      <c r="V206" s="43">
        <v>52.408695000000002</v>
      </c>
      <c r="W206" s="43">
        <v>52.301124999999999</v>
      </c>
      <c r="X206" s="43">
        <v>52.211905999999999</v>
      </c>
      <c r="Y206" s="43">
        <v>52.203082999999999</v>
      </c>
      <c r="Z206" s="43">
        <v>52.194969</v>
      </c>
      <c r="AA206" s="43">
        <v>52.187461999999996</v>
      </c>
      <c r="AB206" s="43">
        <v>52.180495999999998</v>
      </c>
      <c r="AC206" s="43">
        <v>52.173991999999998</v>
      </c>
      <c r="AD206" s="43">
        <v>52.167941999999996</v>
      </c>
      <c r="AE206" s="43">
        <v>52.162331000000002</v>
      </c>
      <c r="AF206" s="43">
        <v>52.157063000000001</v>
      </c>
      <c r="AG206" s="43">
        <v>52.152102999999997</v>
      </c>
      <c r="AH206" s="43">
        <v>52.141250999999997</v>
      </c>
      <c r="AI206" s="35">
        <v>-4.5360000000000001E-3</v>
      </c>
    </row>
    <row r="207" spans="1:35" ht="15" customHeight="1" x14ac:dyDescent="0.35">
      <c r="A207" s="29" t="s">
        <v>109</v>
      </c>
      <c r="B207" s="33" t="s">
        <v>33</v>
      </c>
      <c r="C207" s="43">
        <v>92.972008000000002</v>
      </c>
      <c r="D207" s="43">
        <v>91.805862000000005</v>
      </c>
      <c r="E207" s="43">
        <v>90.674071999999995</v>
      </c>
      <c r="F207" s="43">
        <v>89.391373000000002</v>
      </c>
      <c r="G207" s="43">
        <v>88.339157</v>
      </c>
      <c r="H207" s="43">
        <v>87.040688000000003</v>
      </c>
      <c r="I207" s="43">
        <v>86.853515999999999</v>
      </c>
      <c r="J207" s="43">
        <v>86.455650000000006</v>
      </c>
      <c r="K207" s="43">
        <v>86.085669999999993</v>
      </c>
      <c r="L207" s="43">
        <v>85.743767000000005</v>
      </c>
      <c r="M207" s="43">
        <v>85.429130999999998</v>
      </c>
      <c r="N207" s="43">
        <v>85.140877000000003</v>
      </c>
      <c r="O207" s="43">
        <v>84.878272999999993</v>
      </c>
      <c r="P207" s="43">
        <v>84.640511000000004</v>
      </c>
      <c r="Q207" s="43">
        <v>84.427643000000003</v>
      </c>
      <c r="R207" s="43">
        <v>84.174926999999997</v>
      </c>
      <c r="S207" s="43">
        <v>83.932259000000002</v>
      </c>
      <c r="T207" s="43">
        <v>83.714371</v>
      </c>
      <c r="U207" s="43">
        <v>83.521163999999999</v>
      </c>
      <c r="V207" s="43">
        <v>83.352645999999993</v>
      </c>
      <c r="W207" s="43">
        <v>83.208633000000006</v>
      </c>
      <c r="X207" s="43">
        <v>83.089043000000004</v>
      </c>
      <c r="Y207" s="43">
        <v>83.075241000000005</v>
      </c>
      <c r="Z207" s="43">
        <v>83.062393</v>
      </c>
      <c r="AA207" s="43">
        <v>83.050362000000007</v>
      </c>
      <c r="AB207" s="43">
        <v>83.039055000000005</v>
      </c>
      <c r="AC207" s="43">
        <v>83.028380999999996</v>
      </c>
      <c r="AD207" s="43">
        <v>83.018310999999997</v>
      </c>
      <c r="AE207" s="43">
        <v>83.008803999999998</v>
      </c>
      <c r="AF207" s="43">
        <v>82.999779000000004</v>
      </c>
      <c r="AG207" s="43">
        <v>82.991141999999996</v>
      </c>
      <c r="AH207" s="43">
        <v>82.976723000000007</v>
      </c>
      <c r="AI207" s="35">
        <v>-3.6619999999999999E-3</v>
      </c>
    </row>
    <row r="208" spans="1:35" ht="15" customHeight="1" x14ac:dyDescent="0.35">
      <c r="A208" s="29" t="s">
        <v>690</v>
      </c>
      <c r="B208" s="33" t="s">
        <v>558</v>
      </c>
      <c r="C208" s="43">
        <v>54.688510999999998</v>
      </c>
      <c r="D208" s="43">
        <v>53.788746000000003</v>
      </c>
      <c r="E208" s="43">
        <v>52.936016000000002</v>
      </c>
      <c r="F208" s="43">
        <v>52.130875000000003</v>
      </c>
      <c r="G208" s="43">
        <v>51.461441000000001</v>
      </c>
      <c r="H208" s="43">
        <v>50.802166</v>
      </c>
      <c r="I208" s="43">
        <v>50.423050000000003</v>
      </c>
      <c r="J208" s="43">
        <v>50.069617999999998</v>
      </c>
      <c r="K208" s="43">
        <v>49.744556000000003</v>
      </c>
      <c r="L208" s="43">
        <v>49.452784999999999</v>
      </c>
      <c r="M208" s="43">
        <v>49.195656</v>
      </c>
      <c r="N208" s="43">
        <v>48.972206</v>
      </c>
      <c r="O208" s="43">
        <v>48.779758000000001</v>
      </c>
      <c r="P208" s="43">
        <v>48.615302999999997</v>
      </c>
      <c r="Q208" s="43">
        <v>48.475937000000002</v>
      </c>
      <c r="R208" s="43">
        <v>48.292884999999998</v>
      </c>
      <c r="S208" s="43">
        <v>48.117351999999997</v>
      </c>
      <c r="T208" s="43">
        <v>47.961036999999997</v>
      </c>
      <c r="U208" s="43">
        <v>47.822978999999997</v>
      </c>
      <c r="V208" s="43">
        <v>47.702525999999999</v>
      </c>
      <c r="W208" s="43">
        <v>47.599173999999998</v>
      </c>
      <c r="X208" s="43">
        <v>47.512169</v>
      </c>
      <c r="Y208" s="43">
        <v>47.504936000000001</v>
      </c>
      <c r="Z208" s="43">
        <v>47.498341000000003</v>
      </c>
      <c r="AA208" s="43">
        <v>47.492286999999997</v>
      </c>
      <c r="AB208" s="43">
        <v>47.486713000000002</v>
      </c>
      <c r="AC208" s="43">
        <v>47.481482999999997</v>
      </c>
      <c r="AD208" s="43">
        <v>47.476664999999997</v>
      </c>
      <c r="AE208" s="43">
        <v>47.472251999999997</v>
      </c>
      <c r="AF208" s="43">
        <v>47.468089999999997</v>
      </c>
      <c r="AG208" s="43">
        <v>47.464260000000003</v>
      </c>
      <c r="AH208" s="43">
        <v>47.454467999999999</v>
      </c>
      <c r="AI208" s="35">
        <v>-4.5659999999999997E-3</v>
      </c>
    </row>
    <row r="209" spans="1:35" ht="15" customHeight="1" x14ac:dyDescent="0.35">
      <c r="A209" s="29" t="s">
        <v>691</v>
      </c>
      <c r="B209" s="33" t="s">
        <v>559</v>
      </c>
      <c r="C209" s="43">
        <v>71.476310999999995</v>
      </c>
      <c r="D209" s="43">
        <v>70.367737000000005</v>
      </c>
      <c r="E209" s="43">
        <v>69.098433999999997</v>
      </c>
      <c r="F209" s="43">
        <v>68.094916999999995</v>
      </c>
      <c r="G209" s="43">
        <v>67.229950000000002</v>
      </c>
      <c r="H209" s="43">
        <v>66.400406000000004</v>
      </c>
      <c r="I209" s="43">
        <v>66.044312000000005</v>
      </c>
      <c r="J209" s="43">
        <v>65.604377999999997</v>
      </c>
      <c r="K209" s="43">
        <v>65.199753000000001</v>
      </c>
      <c r="L209" s="43">
        <v>64.835235999999995</v>
      </c>
      <c r="M209" s="43">
        <v>64.511977999999999</v>
      </c>
      <c r="N209" s="43">
        <v>64.228859</v>
      </c>
      <c r="O209" s="43">
        <v>63.982689000000001</v>
      </c>
      <c r="P209" s="43">
        <v>63.769886</v>
      </c>
      <c r="Q209" s="43">
        <v>63.587017000000003</v>
      </c>
      <c r="R209" s="43">
        <v>63.364795999999998</v>
      </c>
      <c r="S209" s="43">
        <v>63.154052999999998</v>
      </c>
      <c r="T209" s="43">
        <v>62.966217</v>
      </c>
      <c r="U209" s="43">
        <v>62.800162999999998</v>
      </c>
      <c r="V209" s="43">
        <v>62.655166999999999</v>
      </c>
      <c r="W209" s="43">
        <v>62.530582000000003</v>
      </c>
      <c r="X209" s="43">
        <v>62.425514</v>
      </c>
      <c r="Y209" s="43">
        <v>62.415649000000002</v>
      </c>
      <c r="Z209" s="43">
        <v>62.406525000000002</v>
      </c>
      <c r="AA209" s="43">
        <v>62.398060000000001</v>
      </c>
      <c r="AB209" s="43">
        <v>62.390171000000002</v>
      </c>
      <c r="AC209" s="43">
        <v>62.382792999999999</v>
      </c>
      <c r="AD209" s="43">
        <v>62.375895999999997</v>
      </c>
      <c r="AE209" s="43">
        <v>62.369453</v>
      </c>
      <c r="AF209" s="43">
        <v>62.363396000000002</v>
      </c>
      <c r="AG209" s="43">
        <v>62.357674000000003</v>
      </c>
      <c r="AH209" s="43">
        <v>62.346080999999998</v>
      </c>
      <c r="AI209" s="35">
        <v>-4.3990000000000001E-3</v>
      </c>
    </row>
    <row r="211" spans="1:35" ht="15" customHeight="1" x14ac:dyDescent="0.35">
      <c r="A211" s="25"/>
      <c r="B211" s="32" t="s">
        <v>545</v>
      </c>
      <c r="C211" s="25"/>
      <c r="D211" s="25"/>
      <c r="E211" s="25"/>
      <c r="F211" s="25"/>
      <c r="G211" s="25"/>
      <c r="H211" s="25"/>
      <c r="I211" s="25"/>
      <c r="J211" s="25"/>
      <c r="K211" s="25"/>
      <c r="L211" s="25"/>
      <c r="M211" s="25"/>
      <c r="N211" s="25"/>
      <c r="O211" s="25"/>
      <c r="P211" s="25"/>
      <c r="Q211" s="25"/>
      <c r="R211" s="25"/>
      <c r="S211" s="25"/>
      <c r="T211" s="25"/>
      <c r="U211" s="25"/>
      <c r="V211" s="25"/>
      <c r="W211" s="25"/>
      <c r="X211" s="25"/>
      <c r="Y211" s="25"/>
      <c r="Z211" s="25"/>
      <c r="AA211" s="25"/>
      <c r="AB211" s="25"/>
      <c r="AC211" s="25"/>
      <c r="AD211" s="25"/>
      <c r="AE211" s="25"/>
      <c r="AF211" s="25"/>
      <c r="AG211" s="25"/>
      <c r="AH211" s="25"/>
      <c r="AI211" s="25"/>
    </row>
    <row r="212" spans="1:35" ht="15" customHeight="1" x14ac:dyDescent="0.35">
      <c r="A212" s="29" t="s">
        <v>56</v>
      </c>
      <c r="B212" s="33" t="s">
        <v>55</v>
      </c>
      <c r="C212" s="43">
        <v>0</v>
      </c>
      <c r="D212" s="43">
        <v>0</v>
      </c>
      <c r="E212" s="43">
        <v>0</v>
      </c>
      <c r="F212" s="43">
        <v>0</v>
      </c>
      <c r="G212" s="43">
        <v>0</v>
      </c>
      <c r="H212" s="43">
        <v>0</v>
      </c>
      <c r="I212" s="43">
        <v>0</v>
      </c>
      <c r="J212" s="43">
        <v>0</v>
      </c>
      <c r="K212" s="43">
        <v>0</v>
      </c>
      <c r="L212" s="43">
        <v>0</v>
      </c>
      <c r="M212" s="43">
        <v>0</v>
      </c>
      <c r="N212" s="43">
        <v>0</v>
      </c>
      <c r="O212" s="43">
        <v>0</v>
      </c>
      <c r="P212" s="43">
        <v>0</v>
      </c>
      <c r="Q212" s="43">
        <v>0</v>
      </c>
      <c r="R212" s="43">
        <v>0</v>
      </c>
      <c r="S212" s="43">
        <v>0</v>
      </c>
      <c r="T212" s="43">
        <v>0</v>
      </c>
      <c r="U212" s="43">
        <v>0</v>
      </c>
      <c r="V212" s="43">
        <v>0</v>
      </c>
      <c r="W212" s="43">
        <v>0</v>
      </c>
      <c r="X212" s="43">
        <v>0</v>
      </c>
      <c r="Y212" s="43">
        <v>0</v>
      </c>
      <c r="Z212" s="43">
        <v>0</v>
      </c>
      <c r="AA212" s="43">
        <v>0</v>
      </c>
      <c r="AB212" s="43">
        <v>0</v>
      </c>
      <c r="AC212" s="43">
        <v>0</v>
      </c>
      <c r="AD212" s="43">
        <v>0</v>
      </c>
      <c r="AE212" s="43">
        <v>0</v>
      </c>
      <c r="AF212" s="43">
        <v>0</v>
      </c>
      <c r="AG212" s="43">
        <v>0</v>
      </c>
      <c r="AH212" s="43">
        <v>0</v>
      </c>
      <c r="AI212" s="35" t="s">
        <v>12</v>
      </c>
    </row>
    <row r="213" spans="1:35" ht="15" customHeight="1" x14ac:dyDescent="0.35">
      <c r="A213" s="29" t="s">
        <v>54</v>
      </c>
      <c r="B213" s="33" t="s">
        <v>53</v>
      </c>
      <c r="C213" s="43">
        <v>0</v>
      </c>
      <c r="D213" s="43">
        <v>70.137435999999994</v>
      </c>
      <c r="E213" s="43">
        <v>68.681022999999996</v>
      </c>
      <c r="F213" s="43">
        <v>67.318489</v>
      </c>
      <c r="G213" s="43">
        <v>66.243561</v>
      </c>
      <c r="H213" s="43">
        <v>65.459213000000005</v>
      </c>
      <c r="I213" s="43">
        <v>64.747894000000002</v>
      </c>
      <c r="J213" s="43">
        <v>64.334228999999993</v>
      </c>
      <c r="K213" s="43">
        <v>63.955939999999998</v>
      </c>
      <c r="L213" s="43">
        <v>63.608764999999998</v>
      </c>
      <c r="M213" s="43">
        <v>63.292155999999999</v>
      </c>
      <c r="N213" s="43">
        <v>63.005141999999999</v>
      </c>
      <c r="O213" s="43">
        <v>62.746662000000001</v>
      </c>
      <c r="P213" s="43">
        <v>62.516089999999998</v>
      </c>
      <c r="Q213" s="43">
        <v>62.311664999999998</v>
      </c>
      <c r="R213" s="43">
        <v>62.065376000000001</v>
      </c>
      <c r="S213" s="43">
        <v>61.830441</v>
      </c>
      <c r="T213" s="43">
        <v>61.619759000000002</v>
      </c>
      <c r="U213" s="43">
        <v>61.433059999999998</v>
      </c>
      <c r="V213" s="43">
        <v>61.270237000000002</v>
      </c>
      <c r="W213" s="43">
        <v>61.130867000000002</v>
      </c>
      <c r="X213" s="43">
        <v>61.014750999999997</v>
      </c>
      <c r="Y213" s="43">
        <v>61.001896000000002</v>
      </c>
      <c r="Z213" s="43">
        <v>60.989928999999997</v>
      </c>
      <c r="AA213" s="43">
        <v>60.978740999999999</v>
      </c>
      <c r="AB213" s="43">
        <v>60.968249999999998</v>
      </c>
      <c r="AC213" s="43">
        <v>60.958309</v>
      </c>
      <c r="AD213" s="43">
        <v>60.948959000000002</v>
      </c>
      <c r="AE213" s="43">
        <v>60.940173999999999</v>
      </c>
      <c r="AF213" s="43">
        <v>60.931778000000001</v>
      </c>
      <c r="AG213" s="43">
        <v>60.923786</v>
      </c>
      <c r="AH213" s="43">
        <v>60.909927000000003</v>
      </c>
      <c r="AI213" s="35" t="s">
        <v>12</v>
      </c>
    </row>
    <row r="214" spans="1:35" ht="15" customHeight="1" x14ac:dyDescent="0.35">
      <c r="A214" s="29" t="s">
        <v>52</v>
      </c>
      <c r="B214" s="33" t="s">
        <v>51</v>
      </c>
      <c r="C214" s="43">
        <v>0</v>
      </c>
      <c r="D214" s="43">
        <v>57.505862999999998</v>
      </c>
      <c r="E214" s="43">
        <v>56.284542000000002</v>
      </c>
      <c r="F214" s="43">
        <v>55.216124999999998</v>
      </c>
      <c r="G214" s="43">
        <v>54.297237000000003</v>
      </c>
      <c r="H214" s="43">
        <v>53.639583999999999</v>
      </c>
      <c r="I214" s="43">
        <v>53.080685000000003</v>
      </c>
      <c r="J214" s="43">
        <v>52.686011999999998</v>
      </c>
      <c r="K214" s="43">
        <v>52.323025000000001</v>
      </c>
      <c r="L214" s="43">
        <v>51.991154000000002</v>
      </c>
      <c r="M214" s="43">
        <v>51.689537000000001</v>
      </c>
      <c r="N214" s="43">
        <v>51.416598999999998</v>
      </c>
      <c r="O214" s="43">
        <v>51.170856000000001</v>
      </c>
      <c r="P214" s="43">
        <v>50.951279</v>
      </c>
      <c r="Q214" s="43">
        <v>50.756985</v>
      </c>
      <c r="R214" s="43">
        <v>50.519942999999998</v>
      </c>
      <c r="S214" s="43">
        <v>50.293446000000003</v>
      </c>
      <c r="T214" s="43">
        <v>50.090533999999998</v>
      </c>
      <c r="U214" s="43">
        <v>49.910651999999999</v>
      </c>
      <c r="V214" s="43">
        <v>49.753627999999999</v>
      </c>
      <c r="W214" s="43">
        <v>49.619338999999997</v>
      </c>
      <c r="X214" s="43">
        <v>49.50732</v>
      </c>
      <c r="Y214" s="43">
        <v>49.495170999999999</v>
      </c>
      <c r="Z214" s="43">
        <v>49.483874999999998</v>
      </c>
      <c r="AA214" s="43">
        <v>49.473320000000001</v>
      </c>
      <c r="AB214" s="43">
        <v>49.463413000000003</v>
      </c>
      <c r="AC214" s="43">
        <v>49.454116999999997</v>
      </c>
      <c r="AD214" s="43">
        <v>49.445323999999999</v>
      </c>
      <c r="AE214" s="43">
        <v>49.437064999999997</v>
      </c>
      <c r="AF214" s="43">
        <v>49.429256000000002</v>
      </c>
      <c r="AG214" s="43">
        <v>49.421805999999997</v>
      </c>
      <c r="AH214" s="43">
        <v>49.408538999999998</v>
      </c>
      <c r="AI214" s="35" t="s">
        <v>12</v>
      </c>
    </row>
    <row r="215" spans="1:35" ht="15" customHeight="1" x14ac:dyDescent="0.35">
      <c r="A215" s="29" t="s">
        <v>50</v>
      </c>
      <c r="B215" s="33" t="s">
        <v>49</v>
      </c>
      <c r="C215" s="43">
        <v>59.210681999999998</v>
      </c>
      <c r="D215" s="43">
        <v>58.159709999999997</v>
      </c>
      <c r="E215" s="43">
        <v>56.977547000000001</v>
      </c>
      <c r="F215" s="43">
        <v>55.872146999999998</v>
      </c>
      <c r="G215" s="43">
        <v>54.947842000000001</v>
      </c>
      <c r="H215" s="43">
        <v>54.109768000000003</v>
      </c>
      <c r="I215" s="43">
        <v>53.322479000000001</v>
      </c>
      <c r="J215" s="43">
        <v>52.845241999999999</v>
      </c>
      <c r="K215" s="43">
        <v>52.409077000000003</v>
      </c>
      <c r="L215" s="43">
        <v>52.012138</v>
      </c>
      <c r="M215" s="43">
        <v>51.655281000000002</v>
      </c>
      <c r="N215" s="43">
        <v>51.337302999999999</v>
      </c>
      <c r="O215" s="43">
        <v>51.055553000000003</v>
      </c>
      <c r="P215" s="43">
        <v>50.807312000000003</v>
      </c>
      <c r="Q215" s="43">
        <v>50.589657000000003</v>
      </c>
      <c r="R215" s="43">
        <v>50.332980999999997</v>
      </c>
      <c r="S215" s="43">
        <v>50.090504000000003</v>
      </c>
      <c r="T215" s="43">
        <v>49.873829000000001</v>
      </c>
      <c r="U215" s="43">
        <v>49.681950000000001</v>
      </c>
      <c r="V215" s="43">
        <v>49.514313000000001</v>
      </c>
      <c r="W215" s="43">
        <v>49.370486999999997</v>
      </c>
      <c r="X215" s="43">
        <v>49.249755999999998</v>
      </c>
      <c r="Y215" s="43">
        <v>49.237037999999998</v>
      </c>
      <c r="Z215" s="43">
        <v>49.225200999999998</v>
      </c>
      <c r="AA215" s="43">
        <v>49.214108000000003</v>
      </c>
      <c r="AB215" s="43">
        <v>49.203696999999998</v>
      </c>
      <c r="AC215" s="43">
        <v>49.193893000000003</v>
      </c>
      <c r="AD215" s="43">
        <v>49.184620000000002</v>
      </c>
      <c r="AE215" s="43">
        <v>49.175884000000003</v>
      </c>
      <c r="AF215" s="43">
        <v>49.167622000000001</v>
      </c>
      <c r="AG215" s="43">
        <v>49.159725000000002</v>
      </c>
      <c r="AH215" s="43">
        <v>49.146011000000001</v>
      </c>
      <c r="AI215" s="35">
        <v>-5.9919999999999999E-3</v>
      </c>
    </row>
    <row r="216" spans="1:35" ht="15" customHeight="1" x14ac:dyDescent="0.35">
      <c r="A216" s="29" t="s">
        <v>48</v>
      </c>
      <c r="B216" s="33" t="s">
        <v>47</v>
      </c>
      <c r="C216" s="43">
        <v>71.023582000000005</v>
      </c>
      <c r="D216" s="43">
        <v>69.794548000000006</v>
      </c>
      <c r="E216" s="43">
        <v>68.428557999999995</v>
      </c>
      <c r="F216" s="43">
        <v>67.204407000000003</v>
      </c>
      <c r="G216" s="43">
        <v>65.993262999999999</v>
      </c>
      <c r="H216" s="43">
        <v>65.038955999999999</v>
      </c>
      <c r="I216" s="43">
        <v>64.213836999999998</v>
      </c>
      <c r="J216" s="43">
        <v>63.613937</v>
      </c>
      <c r="K216" s="43">
        <v>63.057620999999997</v>
      </c>
      <c r="L216" s="43">
        <v>62.553058999999998</v>
      </c>
      <c r="M216" s="43">
        <v>62.102547000000001</v>
      </c>
      <c r="N216" s="43">
        <v>61.704315000000001</v>
      </c>
      <c r="O216" s="43">
        <v>61.354584000000003</v>
      </c>
      <c r="P216" s="43">
        <v>61.048374000000003</v>
      </c>
      <c r="Q216" s="43">
        <v>60.781329999999997</v>
      </c>
      <c r="R216" s="43">
        <v>60.484321999999999</v>
      </c>
      <c r="S216" s="43">
        <v>60.206927999999998</v>
      </c>
      <c r="T216" s="43">
        <v>59.959578999999998</v>
      </c>
      <c r="U216" s="43">
        <v>59.740634999999997</v>
      </c>
      <c r="V216" s="43">
        <v>59.549103000000002</v>
      </c>
      <c r="W216" s="43">
        <v>59.384300000000003</v>
      </c>
      <c r="X216" s="43">
        <v>59.245013999999998</v>
      </c>
      <c r="Y216" s="43">
        <v>59.230221</v>
      </c>
      <c r="Z216" s="43">
        <v>59.2164</v>
      </c>
      <c r="AA216" s="43">
        <v>59.203434000000001</v>
      </c>
      <c r="AB216" s="43">
        <v>59.191195999999998</v>
      </c>
      <c r="AC216" s="43">
        <v>59.179645999999998</v>
      </c>
      <c r="AD216" s="43">
        <v>59.168700999999999</v>
      </c>
      <c r="AE216" s="43">
        <v>59.158355999999998</v>
      </c>
      <c r="AF216" s="43">
        <v>59.148479000000002</v>
      </c>
      <c r="AG216" s="43">
        <v>59.139034000000002</v>
      </c>
      <c r="AH216" s="43">
        <v>59.123801999999998</v>
      </c>
      <c r="AI216" s="35">
        <v>-5.8979999999999996E-3</v>
      </c>
    </row>
    <row r="217" spans="1:35" ht="15" customHeight="1" x14ac:dyDescent="0.35">
      <c r="A217" s="29" t="s">
        <v>46</v>
      </c>
      <c r="B217" s="33" t="s">
        <v>45</v>
      </c>
      <c r="C217" s="43">
        <v>0</v>
      </c>
      <c r="D217" s="43">
        <v>133.759781</v>
      </c>
      <c r="E217" s="43">
        <v>132.597137</v>
      </c>
      <c r="F217" s="43">
        <v>131.45669599999999</v>
      </c>
      <c r="G217" s="43">
        <v>130.33952300000001</v>
      </c>
      <c r="H217" s="43">
        <v>129.64797999999999</v>
      </c>
      <c r="I217" s="43">
        <v>129.03929099999999</v>
      </c>
      <c r="J217" s="43">
        <v>128.49311800000001</v>
      </c>
      <c r="K217" s="43">
        <v>127.994316</v>
      </c>
      <c r="L217" s="43">
        <v>127.544685</v>
      </c>
      <c r="M217" s="43">
        <v>127.1465</v>
      </c>
      <c r="N217" s="43">
        <v>126.79748499999999</v>
      </c>
      <c r="O217" s="43">
        <v>126.49353000000001</v>
      </c>
      <c r="P217" s="43">
        <v>126.229973</v>
      </c>
      <c r="Q217" s="43">
        <v>126.00346399999999</v>
      </c>
      <c r="R217" s="43">
        <v>125.74318700000001</v>
      </c>
      <c r="S217" s="43">
        <v>125.49807699999999</v>
      </c>
      <c r="T217" s="43">
        <v>125.27771</v>
      </c>
      <c r="U217" s="43">
        <v>125.082832</v>
      </c>
      <c r="V217" s="43">
        <v>124.912514</v>
      </c>
      <c r="W217" s="43">
        <v>124.765816</v>
      </c>
      <c r="X217" s="43">
        <v>124.641769</v>
      </c>
      <c r="Y217" s="43">
        <v>124.629211</v>
      </c>
      <c r="Z217" s="43">
        <v>124.617569</v>
      </c>
      <c r="AA217" s="43">
        <v>124.60672</v>
      </c>
      <c r="AB217" s="43">
        <v>124.596512</v>
      </c>
      <c r="AC217" s="43">
        <v>124.58667</v>
      </c>
      <c r="AD217" s="43">
        <v>124.577538</v>
      </c>
      <c r="AE217" s="43">
        <v>124.568962</v>
      </c>
      <c r="AF217" s="43">
        <v>124.560608</v>
      </c>
      <c r="AG217" s="43">
        <v>124.55281100000001</v>
      </c>
      <c r="AH217" s="43">
        <v>124.539108</v>
      </c>
      <c r="AI217" s="35" t="s">
        <v>12</v>
      </c>
    </row>
    <row r="218" spans="1:35" ht="15" customHeight="1" x14ac:dyDescent="0.35">
      <c r="A218" s="29" t="s">
        <v>692</v>
      </c>
      <c r="B218" s="33" t="s">
        <v>556</v>
      </c>
      <c r="C218" s="43">
        <v>60.013804999999998</v>
      </c>
      <c r="D218" s="43">
        <v>58.910614000000002</v>
      </c>
      <c r="E218" s="43">
        <v>57.727161000000002</v>
      </c>
      <c r="F218" s="43">
        <v>56.576842999999997</v>
      </c>
      <c r="G218" s="43">
        <v>55.502822999999999</v>
      </c>
      <c r="H218" s="43">
        <v>54.497452000000003</v>
      </c>
      <c r="I218" s="43">
        <v>53.805804999999999</v>
      </c>
      <c r="J218" s="43">
        <v>53.297241</v>
      </c>
      <c r="K218" s="43">
        <v>52.829987000000003</v>
      </c>
      <c r="L218" s="43">
        <v>52.404750999999997</v>
      </c>
      <c r="M218" s="43">
        <v>52.022820000000003</v>
      </c>
      <c r="N218" s="43">
        <v>51.682918999999998</v>
      </c>
      <c r="O218" s="43">
        <v>51.382088000000003</v>
      </c>
      <c r="P218" s="43">
        <v>51.116748999999999</v>
      </c>
      <c r="Q218" s="43">
        <v>50.884636</v>
      </c>
      <c r="R218" s="43">
        <v>50.615555000000001</v>
      </c>
      <c r="S218" s="43">
        <v>50.361656000000004</v>
      </c>
      <c r="T218" s="43">
        <v>50.134856999999997</v>
      </c>
      <c r="U218" s="43">
        <v>49.934005999999997</v>
      </c>
      <c r="V218" s="43">
        <v>49.758465000000001</v>
      </c>
      <c r="W218" s="43">
        <v>49.607768999999998</v>
      </c>
      <c r="X218" s="43">
        <v>49.481082999999998</v>
      </c>
      <c r="Y218" s="43">
        <v>49.467590000000001</v>
      </c>
      <c r="Z218" s="43">
        <v>49.455021000000002</v>
      </c>
      <c r="AA218" s="43">
        <v>49.443232999999999</v>
      </c>
      <c r="AB218" s="43">
        <v>49.432152000000002</v>
      </c>
      <c r="AC218" s="43">
        <v>49.421512999999997</v>
      </c>
      <c r="AD218" s="43">
        <v>49.411544999999997</v>
      </c>
      <c r="AE218" s="43">
        <v>49.402157000000003</v>
      </c>
      <c r="AF218" s="43">
        <v>49.393169</v>
      </c>
      <c r="AG218" s="43">
        <v>49.384644000000002</v>
      </c>
      <c r="AH218" s="43">
        <v>49.370285000000003</v>
      </c>
      <c r="AI218" s="35">
        <v>-6.2779999999999997E-3</v>
      </c>
    </row>
    <row r="219" spans="1:35" ht="15" customHeight="1" x14ac:dyDescent="0.35">
      <c r="A219" s="29" t="s">
        <v>693</v>
      </c>
      <c r="B219" s="33" t="s">
        <v>557</v>
      </c>
      <c r="C219" s="43">
        <v>73.589607000000001</v>
      </c>
      <c r="D219" s="43">
        <v>72.160911999999996</v>
      </c>
      <c r="E219" s="43">
        <v>70.685080999999997</v>
      </c>
      <c r="F219" s="43">
        <v>69.381484999999998</v>
      </c>
      <c r="G219" s="43">
        <v>68.169906999999995</v>
      </c>
      <c r="H219" s="43">
        <v>66.918564000000003</v>
      </c>
      <c r="I219" s="43">
        <v>66.454719999999995</v>
      </c>
      <c r="J219" s="43">
        <v>65.846100000000007</v>
      </c>
      <c r="K219" s="43">
        <v>65.279944999999998</v>
      </c>
      <c r="L219" s="43">
        <v>64.763679999999994</v>
      </c>
      <c r="M219" s="43">
        <v>64.298691000000005</v>
      </c>
      <c r="N219" s="43">
        <v>63.883209000000001</v>
      </c>
      <c r="O219" s="43">
        <v>63.513699000000003</v>
      </c>
      <c r="P219" s="43">
        <v>63.186653</v>
      </c>
      <c r="Q219" s="43">
        <v>62.900207999999999</v>
      </c>
      <c r="R219" s="43">
        <v>62.582546000000001</v>
      </c>
      <c r="S219" s="43">
        <v>62.285235999999998</v>
      </c>
      <c r="T219" s="43">
        <v>62.019553999999999</v>
      </c>
      <c r="U219" s="43">
        <v>61.784163999999997</v>
      </c>
      <c r="V219" s="43">
        <v>61.578304000000003</v>
      </c>
      <c r="W219" s="43">
        <v>61.401130999999999</v>
      </c>
      <c r="X219" s="43">
        <v>61.252018</v>
      </c>
      <c r="Y219" s="43">
        <v>61.235053999999998</v>
      </c>
      <c r="Z219" s="43">
        <v>61.219161999999997</v>
      </c>
      <c r="AA219" s="43">
        <v>61.204242999999998</v>
      </c>
      <c r="AB219" s="43">
        <v>61.190151</v>
      </c>
      <c r="AC219" s="43">
        <v>61.176189000000001</v>
      </c>
      <c r="AD219" s="43">
        <v>61.16328</v>
      </c>
      <c r="AE219" s="43">
        <v>61.151085000000002</v>
      </c>
      <c r="AF219" s="43">
        <v>61.138995999999999</v>
      </c>
      <c r="AG219" s="43">
        <v>61.127789</v>
      </c>
      <c r="AH219" s="43">
        <v>61.110607000000002</v>
      </c>
      <c r="AI219" s="35">
        <v>-5.9760000000000004E-3</v>
      </c>
    </row>
    <row r="220" spans="1:35" ht="15" customHeight="1" x14ac:dyDescent="0.35">
      <c r="A220" s="29" t="s">
        <v>44</v>
      </c>
      <c r="B220" s="33" t="s">
        <v>43</v>
      </c>
      <c r="C220" s="43">
        <v>0</v>
      </c>
      <c r="D220" s="43">
        <v>0</v>
      </c>
      <c r="E220" s="43">
        <v>0</v>
      </c>
      <c r="F220" s="43">
        <v>0</v>
      </c>
      <c r="G220" s="43">
        <v>0</v>
      </c>
      <c r="H220" s="43">
        <v>0</v>
      </c>
      <c r="I220" s="43">
        <v>0</v>
      </c>
      <c r="J220" s="43">
        <v>0</v>
      </c>
      <c r="K220" s="43">
        <v>0</v>
      </c>
      <c r="L220" s="43">
        <v>0</v>
      </c>
      <c r="M220" s="43">
        <v>0</v>
      </c>
      <c r="N220" s="43">
        <v>0</v>
      </c>
      <c r="O220" s="43">
        <v>0</v>
      </c>
      <c r="P220" s="43">
        <v>0</v>
      </c>
      <c r="Q220" s="43">
        <v>0</v>
      </c>
      <c r="R220" s="43">
        <v>0</v>
      </c>
      <c r="S220" s="43">
        <v>0</v>
      </c>
      <c r="T220" s="43">
        <v>0</v>
      </c>
      <c r="U220" s="43">
        <v>0</v>
      </c>
      <c r="V220" s="43">
        <v>0</v>
      </c>
      <c r="W220" s="43">
        <v>0</v>
      </c>
      <c r="X220" s="43">
        <v>0</v>
      </c>
      <c r="Y220" s="43">
        <v>0</v>
      </c>
      <c r="Z220" s="43">
        <v>0</v>
      </c>
      <c r="AA220" s="43">
        <v>0</v>
      </c>
      <c r="AB220" s="43">
        <v>0</v>
      </c>
      <c r="AC220" s="43">
        <v>0</v>
      </c>
      <c r="AD220" s="43">
        <v>0</v>
      </c>
      <c r="AE220" s="43">
        <v>0</v>
      </c>
      <c r="AF220" s="43">
        <v>0</v>
      </c>
      <c r="AG220" s="43">
        <v>0</v>
      </c>
      <c r="AH220" s="43">
        <v>0</v>
      </c>
      <c r="AI220" s="35" t="s">
        <v>12</v>
      </c>
    </row>
    <row r="221" spans="1:35" ht="15" customHeight="1" x14ac:dyDescent="0.35">
      <c r="A221" s="29" t="s">
        <v>42</v>
      </c>
      <c r="B221" s="33" t="s">
        <v>41</v>
      </c>
      <c r="C221" s="43">
        <v>0</v>
      </c>
      <c r="D221" s="43">
        <v>0</v>
      </c>
      <c r="E221" s="43">
        <v>0</v>
      </c>
      <c r="F221" s="43">
        <v>0</v>
      </c>
      <c r="G221" s="43">
        <v>0</v>
      </c>
      <c r="H221" s="43">
        <v>0</v>
      </c>
      <c r="I221" s="43">
        <v>0</v>
      </c>
      <c r="J221" s="43">
        <v>0</v>
      </c>
      <c r="K221" s="43">
        <v>0</v>
      </c>
      <c r="L221" s="43">
        <v>0</v>
      </c>
      <c r="M221" s="43">
        <v>0</v>
      </c>
      <c r="N221" s="43">
        <v>0</v>
      </c>
      <c r="O221" s="43">
        <v>0</v>
      </c>
      <c r="P221" s="43">
        <v>0</v>
      </c>
      <c r="Q221" s="43">
        <v>0</v>
      </c>
      <c r="R221" s="43">
        <v>0</v>
      </c>
      <c r="S221" s="43">
        <v>0</v>
      </c>
      <c r="T221" s="43">
        <v>0</v>
      </c>
      <c r="U221" s="43">
        <v>0</v>
      </c>
      <c r="V221" s="43">
        <v>0</v>
      </c>
      <c r="W221" s="43">
        <v>0</v>
      </c>
      <c r="X221" s="43">
        <v>0</v>
      </c>
      <c r="Y221" s="43">
        <v>0</v>
      </c>
      <c r="Z221" s="43">
        <v>0</v>
      </c>
      <c r="AA221" s="43">
        <v>0</v>
      </c>
      <c r="AB221" s="43">
        <v>0</v>
      </c>
      <c r="AC221" s="43">
        <v>0</v>
      </c>
      <c r="AD221" s="43">
        <v>0</v>
      </c>
      <c r="AE221" s="43">
        <v>0</v>
      </c>
      <c r="AF221" s="43">
        <v>0</v>
      </c>
      <c r="AG221" s="43">
        <v>0</v>
      </c>
      <c r="AH221" s="43">
        <v>0</v>
      </c>
      <c r="AI221" s="35" t="s">
        <v>12</v>
      </c>
    </row>
    <row r="222" spans="1:35" ht="15" customHeight="1" x14ac:dyDescent="0.35">
      <c r="A222" s="29" t="s">
        <v>40</v>
      </c>
      <c r="B222" s="33" t="s">
        <v>39</v>
      </c>
      <c r="C222" s="43">
        <v>0</v>
      </c>
      <c r="D222" s="43">
        <v>0</v>
      </c>
      <c r="E222" s="43">
        <v>0</v>
      </c>
      <c r="F222" s="43">
        <v>0</v>
      </c>
      <c r="G222" s="43">
        <v>0</v>
      </c>
      <c r="H222" s="43">
        <v>0</v>
      </c>
      <c r="I222" s="43">
        <v>0</v>
      </c>
      <c r="J222" s="43">
        <v>0</v>
      </c>
      <c r="K222" s="43">
        <v>0</v>
      </c>
      <c r="L222" s="43">
        <v>0</v>
      </c>
      <c r="M222" s="43">
        <v>0</v>
      </c>
      <c r="N222" s="43">
        <v>0</v>
      </c>
      <c r="O222" s="43">
        <v>0</v>
      </c>
      <c r="P222" s="43">
        <v>0</v>
      </c>
      <c r="Q222" s="43">
        <v>0</v>
      </c>
      <c r="R222" s="43">
        <v>0</v>
      </c>
      <c r="S222" s="43">
        <v>0</v>
      </c>
      <c r="T222" s="43">
        <v>0</v>
      </c>
      <c r="U222" s="43">
        <v>0</v>
      </c>
      <c r="V222" s="43">
        <v>0</v>
      </c>
      <c r="W222" s="43">
        <v>0</v>
      </c>
      <c r="X222" s="43">
        <v>0</v>
      </c>
      <c r="Y222" s="43">
        <v>0</v>
      </c>
      <c r="Z222" s="43">
        <v>0</v>
      </c>
      <c r="AA222" s="43">
        <v>0</v>
      </c>
      <c r="AB222" s="43">
        <v>0</v>
      </c>
      <c r="AC222" s="43">
        <v>0</v>
      </c>
      <c r="AD222" s="43">
        <v>0</v>
      </c>
      <c r="AE222" s="43">
        <v>0</v>
      </c>
      <c r="AF222" s="43">
        <v>0</v>
      </c>
      <c r="AG222" s="43">
        <v>0</v>
      </c>
      <c r="AH222" s="43">
        <v>0</v>
      </c>
      <c r="AI222" s="35" t="s">
        <v>12</v>
      </c>
    </row>
    <row r="223" spans="1:35" ht="15" customHeight="1" x14ac:dyDescent="0.35">
      <c r="A223" s="29" t="s">
        <v>38</v>
      </c>
      <c r="B223" s="33" t="s">
        <v>37</v>
      </c>
      <c r="C223" s="43">
        <v>0</v>
      </c>
      <c r="D223" s="43">
        <v>0</v>
      </c>
      <c r="E223" s="43">
        <v>0</v>
      </c>
      <c r="F223" s="43">
        <v>0</v>
      </c>
      <c r="G223" s="43">
        <v>0</v>
      </c>
      <c r="H223" s="43">
        <v>0</v>
      </c>
      <c r="I223" s="43">
        <v>0</v>
      </c>
      <c r="J223" s="43">
        <v>0</v>
      </c>
      <c r="K223" s="43">
        <v>0</v>
      </c>
      <c r="L223" s="43">
        <v>0</v>
      </c>
      <c r="M223" s="43">
        <v>0</v>
      </c>
      <c r="N223" s="43">
        <v>0</v>
      </c>
      <c r="O223" s="43">
        <v>0</v>
      </c>
      <c r="P223" s="43">
        <v>0</v>
      </c>
      <c r="Q223" s="43">
        <v>0</v>
      </c>
      <c r="R223" s="43">
        <v>0</v>
      </c>
      <c r="S223" s="43">
        <v>0</v>
      </c>
      <c r="T223" s="43">
        <v>0</v>
      </c>
      <c r="U223" s="43">
        <v>0</v>
      </c>
      <c r="V223" s="43">
        <v>0</v>
      </c>
      <c r="W223" s="43">
        <v>0</v>
      </c>
      <c r="X223" s="43">
        <v>0</v>
      </c>
      <c r="Y223" s="43">
        <v>0</v>
      </c>
      <c r="Z223" s="43">
        <v>0</v>
      </c>
      <c r="AA223" s="43">
        <v>0</v>
      </c>
      <c r="AB223" s="43">
        <v>0</v>
      </c>
      <c r="AC223" s="43">
        <v>0</v>
      </c>
      <c r="AD223" s="43">
        <v>0</v>
      </c>
      <c r="AE223" s="43">
        <v>0</v>
      </c>
      <c r="AF223" s="43">
        <v>0</v>
      </c>
      <c r="AG223" s="43">
        <v>0</v>
      </c>
      <c r="AH223" s="43">
        <v>0</v>
      </c>
      <c r="AI223" s="35" t="s">
        <v>12</v>
      </c>
    </row>
    <row r="224" spans="1:35" ht="15" customHeight="1" x14ac:dyDescent="0.35">
      <c r="A224" s="29" t="s">
        <v>36</v>
      </c>
      <c r="B224" s="33" t="s">
        <v>35</v>
      </c>
      <c r="C224" s="43">
        <v>73.209991000000002</v>
      </c>
      <c r="D224" s="43">
        <v>71.401214999999993</v>
      </c>
      <c r="E224" s="43">
        <v>69.725891000000004</v>
      </c>
      <c r="F224" s="43">
        <v>67.772636000000006</v>
      </c>
      <c r="G224" s="43">
        <v>66.211105000000003</v>
      </c>
      <c r="H224" s="43">
        <v>64.794417999999993</v>
      </c>
      <c r="I224" s="43">
        <v>64.372703999999999</v>
      </c>
      <c r="J224" s="43">
        <v>63.885917999999997</v>
      </c>
      <c r="K224" s="43">
        <v>63.432369000000001</v>
      </c>
      <c r="L224" s="43">
        <v>63.012878000000001</v>
      </c>
      <c r="M224" s="43">
        <v>62.626617000000003</v>
      </c>
      <c r="N224" s="43">
        <v>62.272559999999999</v>
      </c>
      <c r="O224" s="43">
        <v>61.950462000000002</v>
      </c>
      <c r="P224" s="43">
        <v>61.658554000000002</v>
      </c>
      <c r="Q224" s="43">
        <v>61.396403999999997</v>
      </c>
      <c r="R224" s="43">
        <v>61.096077000000001</v>
      </c>
      <c r="S224" s="43">
        <v>60.811539000000003</v>
      </c>
      <c r="T224" s="43">
        <v>60.556057000000003</v>
      </c>
      <c r="U224" s="43">
        <v>60.329475000000002</v>
      </c>
      <c r="V224" s="43">
        <v>60.131695000000001</v>
      </c>
      <c r="W224" s="43">
        <v>59.962479000000002</v>
      </c>
      <c r="X224" s="43">
        <v>59.82159</v>
      </c>
      <c r="Y224" s="43">
        <v>59.804543000000002</v>
      </c>
      <c r="Z224" s="43">
        <v>59.788592999999999</v>
      </c>
      <c r="AA224" s="43">
        <v>59.773594000000003</v>
      </c>
      <c r="AB224" s="43">
        <v>59.759433999999999</v>
      </c>
      <c r="AC224" s="43">
        <v>59.746014000000002</v>
      </c>
      <c r="AD224" s="43">
        <v>59.733283999999998</v>
      </c>
      <c r="AE224" s="43">
        <v>59.721218</v>
      </c>
      <c r="AF224" s="43">
        <v>59.709705</v>
      </c>
      <c r="AG224" s="43">
        <v>59.698661999999999</v>
      </c>
      <c r="AH224" s="43">
        <v>59.681888999999998</v>
      </c>
      <c r="AI224" s="35">
        <v>-6.5690000000000002E-3</v>
      </c>
    </row>
    <row r="225" spans="1:35" ht="15" customHeight="1" x14ac:dyDescent="0.35">
      <c r="A225" s="29" t="s">
        <v>34</v>
      </c>
      <c r="B225" s="33" t="s">
        <v>33</v>
      </c>
      <c r="C225" s="43">
        <v>109.75393699999999</v>
      </c>
      <c r="D225" s="43">
        <v>107.740517</v>
      </c>
      <c r="E225" s="43">
        <v>105.865135</v>
      </c>
      <c r="F225" s="43">
        <v>103.806381</v>
      </c>
      <c r="G225" s="43">
        <v>102.11546300000001</v>
      </c>
      <c r="H225" s="43">
        <v>100.026405</v>
      </c>
      <c r="I225" s="43">
        <v>99.381141999999997</v>
      </c>
      <c r="J225" s="43">
        <v>98.719703999999993</v>
      </c>
      <c r="K225" s="43">
        <v>98.101662000000005</v>
      </c>
      <c r="L225" s="43">
        <v>97.527137999999994</v>
      </c>
      <c r="M225" s="43">
        <v>96.994865000000004</v>
      </c>
      <c r="N225" s="43">
        <v>96.503524999999996</v>
      </c>
      <c r="O225" s="43">
        <v>96.051940999999999</v>
      </c>
      <c r="P225" s="43">
        <v>95.638863000000001</v>
      </c>
      <c r="Q225" s="43">
        <v>95.264435000000006</v>
      </c>
      <c r="R225" s="43">
        <v>94.863456999999997</v>
      </c>
      <c r="S225" s="43">
        <v>94.485022999999998</v>
      </c>
      <c r="T225" s="43">
        <v>94.144890000000004</v>
      </c>
      <c r="U225" s="43">
        <v>93.842895999999996</v>
      </c>
      <c r="V225" s="43">
        <v>93.579055999999994</v>
      </c>
      <c r="W225" s="43">
        <v>93.353110999999998</v>
      </c>
      <c r="X225" s="43">
        <v>93.164878999999999</v>
      </c>
      <c r="Y225" s="43">
        <v>93.140152</v>
      </c>
      <c r="Z225" s="43">
        <v>93.116889999999998</v>
      </c>
      <c r="AA225" s="43">
        <v>93.094893999999996</v>
      </c>
      <c r="AB225" s="43">
        <v>93.074043000000003</v>
      </c>
      <c r="AC225" s="43">
        <v>93.054152999999999</v>
      </c>
      <c r="AD225" s="43">
        <v>93.035210000000006</v>
      </c>
      <c r="AE225" s="43">
        <v>93.017135999999994</v>
      </c>
      <c r="AF225" s="43">
        <v>92.999802000000003</v>
      </c>
      <c r="AG225" s="43">
        <v>92.983101000000005</v>
      </c>
      <c r="AH225" s="43">
        <v>92.960814999999997</v>
      </c>
      <c r="AI225" s="35">
        <v>-5.3429999999999997E-3</v>
      </c>
    </row>
    <row r="226" spans="1:35" ht="15" customHeight="1" x14ac:dyDescent="0.35">
      <c r="A226" s="29" t="s">
        <v>694</v>
      </c>
      <c r="B226" s="33" t="s">
        <v>558</v>
      </c>
      <c r="C226" s="43">
        <v>65.887900999999999</v>
      </c>
      <c r="D226" s="43">
        <v>64.397270000000006</v>
      </c>
      <c r="E226" s="43">
        <v>63.021827999999999</v>
      </c>
      <c r="F226" s="43">
        <v>61.682372999999998</v>
      </c>
      <c r="G226" s="43">
        <v>60.619709</v>
      </c>
      <c r="H226" s="43">
        <v>59.578685999999998</v>
      </c>
      <c r="I226" s="43">
        <v>58.894596</v>
      </c>
      <c r="J226" s="43">
        <v>58.364265000000003</v>
      </c>
      <c r="K226" s="43">
        <v>57.872669000000002</v>
      </c>
      <c r="L226" s="43">
        <v>57.424788999999997</v>
      </c>
      <c r="M226" s="43">
        <v>57.021652000000003</v>
      </c>
      <c r="N226" s="43">
        <v>56.661926000000001</v>
      </c>
      <c r="O226" s="43">
        <v>56.342590000000001</v>
      </c>
      <c r="P226" s="43">
        <v>56.060504999999999</v>
      </c>
      <c r="Q226" s="43">
        <v>55.812744000000002</v>
      </c>
      <c r="R226" s="43">
        <v>55.529330999999999</v>
      </c>
      <c r="S226" s="43">
        <v>55.262337000000002</v>
      </c>
      <c r="T226" s="43">
        <v>55.023631999999999</v>
      </c>
      <c r="U226" s="43">
        <v>54.812275</v>
      </c>
      <c r="V226" s="43">
        <v>54.627605000000003</v>
      </c>
      <c r="W226" s="43">
        <v>54.46904</v>
      </c>
      <c r="X226" s="43">
        <v>54.335793000000002</v>
      </c>
      <c r="Y226" s="43">
        <v>54.321193999999998</v>
      </c>
      <c r="Z226" s="43">
        <v>54.307578999999997</v>
      </c>
      <c r="AA226" s="43">
        <v>54.294829999999997</v>
      </c>
      <c r="AB226" s="43">
        <v>54.282822000000003</v>
      </c>
      <c r="AC226" s="43">
        <v>54.271357999999999</v>
      </c>
      <c r="AD226" s="43">
        <v>54.260539999999999</v>
      </c>
      <c r="AE226" s="43">
        <v>54.250323999999999</v>
      </c>
      <c r="AF226" s="43">
        <v>54.240527999999998</v>
      </c>
      <c r="AG226" s="43">
        <v>54.231212999999997</v>
      </c>
      <c r="AH226" s="43">
        <v>54.216095000000003</v>
      </c>
      <c r="AI226" s="35">
        <v>-6.2700000000000004E-3</v>
      </c>
    </row>
    <row r="227" spans="1:35" ht="15" customHeight="1" x14ac:dyDescent="0.35">
      <c r="A227" s="29" t="s">
        <v>695</v>
      </c>
      <c r="B227" s="33" t="s">
        <v>559</v>
      </c>
      <c r="C227" s="43">
        <v>84.975029000000006</v>
      </c>
      <c r="D227" s="43">
        <v>83.144295</v>
      </c>
      <c r="E227" s="43">
        <v>81.113831000000005</v>
      </c>
      <c r="F227" s="43">
        <v>79.504585000000006</v>
      </c>
      <c r="G227" s="43">
        <v>78.138901000000004</v>
      </c>
      <c r="H227" s="43">
        <v>76.804451</v>
      </c>
      <c r="I227" s="43">
        <v>76.147407999999999</v>
      </c>
      <c r="J227" s="43">
        <v>75.494438000000002</v>
      </c>
      <c r="K227" s="43">
        <v>74.890404000000004</v>
      </c>
      <c r="L227" s="43">
        <v>74.339187999999993</v>
      </c>
      <c r="M227" s="43">
        <v>73.841301000000001</v>
      </c>
      <c r="N227" s="43">
        <v>73.395163999999994</v>
      </c>
      <c r="O227" s="43">
        <v>72.997208000000001</v>
      </c>
      <c r="P227" s="43">
        <v>72.643699999999995</v>
      </c>
      <c r="Q227" s="43">
        <v>72.331153999999998</v>
      </c>
      <c r="R227" s="43">
        <v>71.989020999999994</v>
      </c>
      <c r="S227" s="43">
        <v>71.669060000000002</v>
      </c>
      <c r="T227" s="43">
        <v>71.382819999999995</v>
      </c>
      <c r="U227" s="43">
        <v>71.129210999999998</v>
      </c>
      <c r="V227" s="43">
        <v>70.907500999999996</v>
      </c>
      <c r="W227" s="43">
        <v>70.716965000000002</v>
      </c>
      <c r="X227" s="43">
        <v>70.556670999999994</v>
      </c>
      <c r="Y227" s="43">
        <v>70.538002000000006</v>
      </c>
      <c r="Z227" s="43">
        <v>70.520493000000002</v>
      </c>
      <c r="AA227" s="43">
        <v>70.504013</v>
      </c>
      <c r="AB227" s="43">
        <v>70.488433999999998</v>
      </c>
      <c r="AC227" s="43">
        <v>70.473633000000007</v>
      </c>
      <c r="AD227" s="43">
        <v>70.459594999999993</v>
      </c>
      <c r="AE227" s="43">
        <v>70.446258999999998</v>
      </c>
      <c r="AF227" s="43">
        <v>70.433525000000003</v>
      </c>
      <c r="AG227" s="43">
        <v>70.421295000000001</v>
      </c>
      <c r="AH227" s="43">
        <v>70.403380999999996</v>
      </c>
      <c r="AI227" s="35">
        <v>-6.0499999999999998E-3</v>
      </c>
    </row>
    <row r="229" spans="1:35" ht="15" customHeight="1" x14ac:dyDescent="0.35">
      <c r="A229" s="25"/>
      <c r="B229" s="32" t="s">
        <v>108</v>
      </c>
      <c r="C229" s="25"/>
      <c r="D229" s="25"/>
      <c r="E229" s="25"/>
      <c r="F229" s="25"/>
      <c r="G229" s="25"/>
      <c r="H229" s="25"/>
      <c r="I229" s="25"/>
      <c r="J229" s="25"/>
      <c r="K229" s="25"/>
      <c r="L229" s="25"/>
      <c r="M229" s="25"/>
      <c r="N229" s="25"/>
      <c r="O229" s="25"/>
      <c r="P229" s="25"/>
      <c r="Q229" s="25"/>
      <c r="R229" s="25"/>
      <c r="S229" s="25"/>
      <c r="T229" s="25"/>
      <c r="U229" s="25"/>
      <c r="V229" s="25"/>
      <c r="W229" s="25"/>
      <c r="X229" s="25"/>
      <c r="Y229" s="25"/>
      <c r="Z229" s="25"/>
      <c r="AA229" s="25"/>
      <c r="AB229" s="25"/>
      <c r="AC229" s="25"/>
      <c r="AD229" s="25"/>
      <c r="AE229" s="25"/>
      <c r="AF229" s="25"/>
      <c r="AG229" s="25"/>
      <c r="AH229" s="25"/>
      <c r="AI229" s="25"/>
    </row>
    <row r="230" spans="1:35" ht="15" customHeight="1" x14ac:dyDescent="0.35">
      <c r="A230" s="29" t="s">
        <v>107</v>
      </c>
      <c r="B230" s="33" t="s">
        <v>55</v>
      </c>
      <c r="C230" s="43">
        <v>0</v>
      </c>
      <c r="D230" s="43">
        <v>0</v>
      </c>
      <c r="E230" s="43">
        <v>0</v>
      </c>
      <c r="F230" s="43">
        <v>0</v>
      </c>
      <c r="G230" s="43">
        <v>0</v>
      </c>
      <c r="H230" s="43">
        <v>0</v>
      </c>
      <c r="I230" s="43">
        <v>0</v>
      </c>
      <c r="J230" s="43">
        <v>0</v>
      </c>
      <c r="K230" s="43">
        <v>0</v>
      </c>
      <c r="L230" s="43">
        <v>0</v>
      </c>
      <c r="M230" s="43">
        <v>0</v>
      </c>
      <c r="N230" s="43">
        <v>0</v>
      </c>
      <c r="O230" s="43">
        <v>0</v>
      </c>
      <c r="P230" s="43">
        <v>0</v>
      </c>
      <c r="Q230" s="43">
        <v>0</v>
      </c>
      <c r="R230" s="43">
        <v>0</v>
      </c>
      <c r="S230" s="43">
        <v>0</v>
      </c>
      <c r="T230" s="43">
        <v>0</v>
      </c>
      <c r="U230" s="43">
        <v>0</v>
      </c>
      <c r="V230" s="43">
        <v>0</v>
      </c>
      <c r="W230" s="43">
        <v>0</v>
      </c>
      <c r="X230" s="43">
        <v>0</v>
      </c>
      <c r="Y230" s="43">
        <v>0</v>
      </c>
      <c r="Z230" s="43">
        <v>0</v>
      </c>
      <c r="AA230" s="43">
        <v>0</v>
      </c>
      <c r="AB230" s="43">
        <v>0</v>
      </c>
      <c r="AC230" s="43">
        <v>0</v>
      </c>
      <c r="AD230" s="43">
        <v>0</v>
      </c>
      <c r="AE230" s="43">
        <v>0</v>
      </c>
      <c r="AF230" s="43">
        <v>0</v>
      </c>
      <c r="AG230" s="43">
        <v>0</v>
      </c>
      <c r="AH230" s="43">
        <v>0</v>
      </c>
      <c r="AI230" s="35" t="s">
        <v>12</v>
      </c>
    </row>
    <row r="231" spans="1:35" ht="15" customHeight="1" x14ac:dyDescent="0.35">
      <c r="A231" s="29" t="s">
        <v>106</v>
      </c>
      <c r="B231" s="33" t="s">
        <v>53</v>
      </c>
      <c r="C231" s="43">
        <v>0</v>
      </c>
      <c r="D231" s="43">
        <v>0</v>
      </c>
      <c r="E231" s="43">
        <v>0</v>
      </c>
      <c r="F231" s="43">
        <v>0</v>
      </c>
      <c r="G231" s="43">
        <v>0</v>
      </c>
      <c r="H231" s="43">
        <v>0</v>
      </c>
      <c r="I231" s="43">
        <v>0</v>
      </c>
      <c r="J231" s="43">
        <v>0</v>
      </c>
      <c r="K231" s="43">
        <v>0</v>
      </c>
      <c r="L231" s="43">
        <v>0</v>
      </c>
      <c r="M231" s="43">
        <v>0</v>
      </c>
      <c r="N231" s="43">
        <v>0</v>
      </c>
      <c r="O231" s="43">
        <v>0</v>
      </c>
      <c r="P231" s="43">
        <v>0</v>
      </c>
      <c r="Q231" s="43">
        <v>0</v>
      </c>
      <c r="R231" s="43">
        <v>0</v>
      </c>
      <c r="S231" s="43">
        <v>0</v>
      </c>
      <c r="T231" s="43">
        <v>0</v>
      </c>
      <c r="U231" s="43">
        <v>0</v>
      </c>
      <c r="V231" s="43">
        <v>0</v>
      </c>
      <c r="W231" s="43">
        <v>0</v>
      </c>
      <c r="X231" s="43">
        <v>51.605820000000001</v>
      </c>
      <c r="Y231" s="43">
        <v>51.630257</v>
      </c>
      <c r="Z231" s="43">
        <v>51.652405000000002</v>
      </c>
      <c r="AA231" s="43">
        <v>51.677010000000003</v>
      </c>
      <c r="AB231" s="43">
        <v>51.701450000000001</v>
      </c>
      <c r="AC231" s="43">
        <v>51.724899000000001</v>
      </c>
      <c r="AD231" s="43">
        <v>51.751399999999997</v>
      </c>
      <c r="AE231" s="43">
        <v>51.773463999999997</v>
      </c>
      <c r="AF231" s="43">
        <v>51.796920999999998</v>
      </c>
      <c r="AG231" s="43">
        <v>51.820670999999997</v>
      </c>
      <c r="AH231" s="43">
        <v>51.838436000000002</v>
      </c>
      <c r="AI231" s="35" t="s">
        <v>12</v>
      </c>
    </row>
    <row r="232" spans="1:35" ht="15" customHeight="1" x14ac:dyDescent="0.35">
      <c r="A232" s="29" t="s">
        <v>105</v>
      </c>
      <c r="B232" s="33" t="s">
        <v>51</v>
      </c>
      <c r="C232" s="43">
        <v>0</v>
      </c>
      <c r="D232" s="43">
        <v>0</v>
      </c>
      <c r="E232" s="43">
        <v>0</v>
      </c>
      <c r="F232" s="43">
        <v>0</v>
      </c>
      <c r="G232" s="43">
        <v>0</v>
      </c>
      <c r="H232" s="43">
        <v>0</v>
      </c>
      <c r="I232" s="43">
        <v>0</v>
      </c>
      <c r="J232" s="43">
        <v>0</v>
      </c>
      <c r="K232" s="43">
        <v>0</v>
      </c>
      <c r="L232" s="43">
        <v>0</v>
      </c>
      <c r="M232" s="43">
        <v>0</v>
      </c>
      <c r="N232" s="43">
        <v>40.160645000000002</v>
      </c>
      <c r="O232" s="43">
        <v>40.214615000000002</v>
      </c>
      <c r="P232" s="43">
        <v>40.278851000000003</v>
      </c>
      <c r="Q232" s="43">
        <v>40.347496</v>
      </c>
      <c r="R232" s="43">
        <v>40.359406</v>
      </c>
      <c r="S232" s="43">
        <v>40.364390999999998</v>
      </c>
      <c r="T232" s="43">
        <v>40.371707999999998</v>
      </c>
      <c r="U232" s="43">
        <v>40.384731000000002</v>
      </c>
      <c r="V232" s="43">
        <v>40.396469000000003</v>
      </c>
      <c r="W232" s="43">
        <v>40.409447</v>
      </c>
      <c r="X232" s="43">
        <v>40.426464000000003</v>
      </c>
      <c r="Y232" s="43">
        <v>40.453018</v>
      </c>
      <c r="Z232" s="43">
        <v>40.477004999999998</v>
      </c>
      <c r="AA232" s="43">
        <v>40.503703999999999</v>
      </c>
      <c r="AB232" s="43">
        <v>40.530208999999999</v>
      </c>
      <c r="AC232" s="43">
        <v>40.555653</v>
      </c>
      <c r="AD232" s="43">
        <v>40.584446</v>
      </c>
      <c r="AE232" s="43">
        <v>40.608215000000001</v>
      </c>
      <c r="AF232" s="43">
        <v>40.633437999999998</v>
      </c>
      <c r="AG232" s="43">
        <v>40.659064999999998</v>
      </c>
      <c r="AH232" s="43">
        <v>40.678753</v>
      </c>
      <c r="AI232" s="35" t="s">
        <v>12</v>
      </c>
    </row>
    <row r="233" spans="1:35" ht="15" customHeight="1" x14ac:dyDescent="0.35">
      <c r="A233" s="29" t="s">
        <v>104</v>
      </c>
      <c r="B233" s="33" t="s">
        <v>49</v>
      </c>
      <c r="C233" s="43">
        <v>0</v>
      </c>
      <c r="D233" s="43">
        <v>0</v>
      </c>
      <c r="E233" s="43">
        <v>0</v>
      </c>
      <c r="F233" s="43">
        <v>0</v>
      </c>
      <c r="G233" s="43">
        <v>0</v>
      </c>
      <c r="H233" s="43">
        <v>0</v>
      </c>
      <c r="I233" s="43">
        <v>0</v>
      </c>
      <c r="J233" s="43">
        <v>0</v>
      </c>
      <c r="K233" s="43">
        <v>0</v>
      </c>
      <c r="L233" s="43">
        <v>0</v>
      </c>
      <c r="M233" s="43">
        <v>0</v>
      </c>
      <c r="N233" s="43">
        <v>38.588818000000003</v>
      </c>
      <c r="O233" s="43">
        <v>38.352927999999999</v>
      </c>
      <c r="P233" s="43">
        <v>38.023026000000002</v>
      </c>
      <c r="Q233" s="43">
        <v>37.951351000000003</v>
      </c>
      <c r="R233" s="43">
        <v>37.904674999999997</v>
      </c>
      <c r="S233" s="43">
        <v>37.882156000000002</v>
      </c>
      <c r="T233" s="43">
        <v>37.874015999999997</v>
      </c>
      <c r="U233" s="43">
        <v>37.875</v>
      </c>
      <c r="V233" s="43">
        <v>37.876854000000002</v>
      </c>
      <c r="W233" s="43">
        <v>37.876334999999997</v>
      </c>
      <c r="X233" s="43">
        <v>37.878700000000002</v>
      </c>
      <c r="Y233" s="43">
        <v>37.898868999999998</v>
      </c>
      <c r="Z233" s="43">
        <v>37.918396000000001</v>
      </c>
      <c r="AA233" s="43">
        <v>37.936301999999998</v>
      </c>
      <c r="AB233" s="43">
        <v>37.956161000000002</v>
      </c>
      <c r="AC233" s="43">
        <v>37.976604000000002</v>
      </c>
      <c r="AD233" s="43">
        <v>37.995525000000001</v>
      </c>
      <c r="AE233" s="43">
        <v>38.014870000000002</v>
      </c>
      <c r="AF233" s="43">
        <v>38.030132000000002</v>
      </c>
      <c r="AG233" s="43">
        <v>38.050617000000003</v>
      </c>
      <c r="AH233" s="43">
        <v>38.066639000000002</v>
      </c>
      <c r="AI233" s="35" t="s">
        <v>12</v>
      </c>
    </row>
    <row r="234" spans="1:35" ht="15" customHeight="1" x14ac:dyDescent="0.35">
      <c r="A234" s="29" t="s">
        <v>103</v>
      </c>
      <c r="B234" s="33" t="s">
        <v>47</v>
      </c>
      <c r="C234" s="43">
        <v>0</v>
      </c>
      <c r="D234" s="43">
        <v>0</v>
      </c>
      <c r="E234" s="43">
        <v>0</v>
      </c>
      <c r="F234" s="43">
        <v>0</v>
      </c>
      <c r="G234" s="43">
        <v>0</v>
      </c>
      <c r="H234" s="43">
        <v>0</v>
      </c>
      <c r="I234" s="43">
        <v>0</v>
      </c>
      <c r="J234" s="43">
        <v>0</v>
      </c>
      <c r="K234" s="43">
        <v>0</v>
      </c>
      <c r="L234" s="43">
        <v>0</v>
      </c>
      <c r="M234" s="43">
        <v>0</v>
      </c>
      <c r="N234" s="43">
        <v>45.991160999999998</v>
      </c>
      <c r="O234" s="43">
        <v>46.026909000000003</v>
      </c>
      <c r="P234" s="43">
        <v>46.076309000000002</v>
      </c>
      <c r="Q234" s="43">
        <v>46.133274</v>
      </c>
      <c r="R234" s="43">
        <v>46.134754000000001</v>
      </c>
      <c r="S234" s="43">
        <v>46.130645999999999</v>
      </c>
      <c r="T234" s="43">
        <v>46.129902000000001</v>
      </c>
      <c r="U234" s="43">
        <v>46.134346000000001</v>
      </c>
      <c r="V234" s="43">
        <v>46.138534999999997</v>
      </c>
      <c r="W234" s="43">
        <v>46.144191999999997</v>
      </c>
      <c r="X234" s="43">
        <v>46.153950000000002</v>
      </c>
      <c r="Y234" s="43">
        <v>46.177097000000003</v>
      </c>
      <c r="Z234" s="43">
        <v>46.197978999999997</v>
      </c>
      <c r="AA234" s="43">
        <v>46.220905000000002</v>
      </c>
      <c r="AB234" s="43">
        <v>46.243640999999997</v>
      </c>
      <c r="AC234" s="43">
        <v>46.265490999999997</v>
      </c>
      <c r="AD234" s="43">
        <v>46.290053999999998</v>
      </c>
      <c r="AE234" s="43">
        <v>46.310558</v>
      </c>
      <c r="AF234" s="43">
        <v>46.332264000000002</v>
      </c>
      <c r="AG234" s="43">
        <v>46.354205999999998</v>
      </c>
      <c r="AH234" s="43">
        <v>46.370125000000002</v>
      </c>
      <c r="AI234" s="35" t="s">
        <v>12</v>
      </c>
    </row>
    <row r="235" spans="1:35" ht="15" customHeight="1" x14ac:dyDescent="0.35">
      <c r="A235" s="29" t="s">
        <v>102</v>
      </c>
      <c r="B235" s="33" t="s">
        <v>45</v>
      </c>
      <c r="C235" s="43">
        <v>0</v>
      </c>
      <c r="D235" s="43">
        <v>0</v>
      </c>
      <c r="E235" s="43">
        <v>0</v>
      </c>
      <c r="F235" s="43">
        <v>0</v>
      </c>
      <c r="G235" s="43">
        <v>0</v>
      </c>
      <c r="H235" s="43">
        <v>0</v>
      </c>
      <c r="I235" s="43">
        <v>0</v>
      </c>
      <c r="J235" s="43">
        <v>0</v>
      </c>
      <c r="K235" s="43">
        <v>0</v>
      </c>
      <c r="L235" s="43">
        <v>0</v>
      </c>
      <c r="M235" s="43">
        <v>0</v>
      </c>
      <c r="N235" s="43">
        <v>0</v>
      </c>
      <c r="O235" s="43">
        <v>0</v>
      </c>
      <c r="P235" s="43">
        <v>0</v>
      </c>
      <c r="Q235" s="43">
        <v>0</v>
      </c>
      <c r="R235" s="43">
        <v>0</v>
      </c>
      <c r="S235" s="43">
        <v>0</v>
      </c>
      <c r="T235" s="43">
        <v>0</v>
      </c>
      <c r="U235" s="43">
        <v>0</v>
      </c>
      <c r="V235" s="43">
        <v>0</v>
      </c>
      <c r="W235" s="43">
        <v>0</v>
      </c>
      <c r="X235" s="43">
        <v>0</v>
      </c>
      <c r="Y235" s="43">
        <v>0</v>
      </c>
      <c r="Z235" s="43">
        <v>0</v>
      </c>
      <c r="AA235" s="43">
        <v>0</v>
      </c>
      <c r="AB235" s="43">
        <v>0</v>
      </c>
      <c r="AC235" s="43">
        <v>0</v>
      </c>
      <c r="AD235" s="43">
        <v>0</v>
      </c>
      <c r="AE235" s="43">
        <v>0</v>
      </c>
      <c r="AF235" s="43">
        <v>0</v>
      </c>
      <c r="AG235" s="43">
        <v>0</v>
      </c>
      <c r="AH235" s="43">
        <v>0</v>
      </c>
      <c r="AI235" s="35" t="s">
        <v>12</v>
      </c>
    </row>
    <row r="236" spans="1:35" ht="15" customHeight="1" x14ac:dyDescent="0.35">
      <c r="A236" s="29" t="s">
        <v>696</v>
      </c>
      <c r="B236" s="33" t="s">
        <v>556</v>
      </c>
      <c r="C236" s="43">
        <v>0</v>
      </c>
      <c r="D236" s="43">
        <v>0</v>
      </c>
      <c r="E236" s="43">
        <v>0</v>
      </c>
      <c r="F236" s="43">
        <v>0</v>
      </c>
      <c r="G236" s="43">
        <v>0</v>
      </c>
      <c r="H236" s="43">
        <v>0</v>
      </c>
      <c r="I236" s="43">
        <v>0</v>
      </c>
      <c r="J236" s="43">
        <v>0</v>
      </c>
      <c r="K236" s="43">
        <v>0</v>
      </c>
      <c r="L236" s="43">
        <v>0</v>
      </c>
      <c r="M236" s="43">
        <v>0</v>
      </c>
      <c r="N236" s="43">
        <v>0</v>
      </c>
      <c r="O236" s="43">
        <v>0</v>
      </c>
      <c r="P236" s="43">
        <v>0</v>
      </c>
      <c r="Q236" s="43">
        <v>0</v>
      </c>
      <c r="R236" s="43">
        <v>0</v>
      </c>
      <c r="S236" s="43">
        <v>0</v>
      </c>
      <c r="T236" s="43">
        <v>0</v>
      </c>
      <c r="U236" s="43">
        <v>0</v>
      </c>
      <c r="V236" s="43">
        <v>0</v>
      </c>
      <c r="W236" s="43">
        <v>0</v>
      </c>
      <c r="X236" s="43">
        <v>0</v>
      </c>
      <c r="Y236" s="43">
        <v>0</v>
      </c>
      <c r="Z236" s="43">
        <v>0</v>
      </c>
      <c r="AA236" s="43">
        <v>0</v>
      </c>
      <c r="AB236" s="43">
        <v>0</v>
      </c>
      <c r="AC236" s="43">
        <v>0</v>
      </c>
      <c r="AD236" s="43">
        <v>0</v>
      </c>
      <c r="AE236" s="43">
        <v>0</v>
      </c>
      <c r="AF236" s="43">
        <v>0</v>
      </c>
      <c r="AG236" s="43">
        <v>0</v>
      </c>
      <c r="AH236" s="43">
        <v>0</v>
      </c>
      <c r="AI236" s="35" t="s">
        <v>12</v>
      </c>
    </row>
    <row r="237" spans="1:35" ht="15" customHeight="1" x14ac:dyDescent="0.35">
      <c r="A237" s="29" t="s">
        <v>697</v>
      </c>
      <c r="B237" s="33" t="s">
        <v>557</v>
      </c>
      <c r="C237" s="43">
        <v>0</v>
      </c>
      <c r="D237" s="43">
        <v>0</v>
      </c>
      <c r="E237" s="43">
        <v>0</v>
      </c>
      <c r="F237" s="43">
        <v>0</v>
      </c>
      <c r="G237" s="43">
        <v>0</v>
      </c>
      <c r="H237" s="43">
        <v>0</v>
      </c>
      <c r="I237" s="43">
        <v>0</v>
      </c>
      <c r="J237" s="43">
        <v>0</v>
      </c>
      <c r="K237" s="43">
        <v>0</v>
      </c>
      <c r="L237" s="43">
        <v>0</v>
      </c>
      <c r="M237" s="43">
        <v>0</v>
      </c>
      <c r="N237" s="43">
        <v>0</v>
      </c>
      <c r="O237" s="43">
        <v>0</v>
      </c>
      <c r="P237" s="43">
        <v>0</v>
      </c>
      <c r="Q237" s="43">
        <v>0</v>
      </c>
      <c r="R237" s="43">
        <v>0</v>
      </c>
      <c r="S237" s="43">
        <v>0</v>
      </c>
      <c r="T237" s="43">
        <v>0</v>
      </c>
      <c r="U237" s="43">
        <v>0</v>
      </c>
      <c r="V237" s="43">
        <v>0</v>
      </c>
      <c r="W237" s="43">
        <v>0</v>
      </c>
      <c r="X237" s="43">
        <v>0</v>
      </c>
      <c r="Y237" s="43">
        <v>0</v>
      </c>
      <c r="Z237" s="43">
        <v>0</v>
      </c>
      <c r="AA237" s="43">
        <v>0</v>
      </c>
      <c r="AB237" s="43">
        <v>0</v>
      </c>
      <c r="AC237" s="43">
        <v>0</v>
      </c>
      <c r="AD237" s="43">
        <v>0</v>
      </c>
      <c r="AE237" s="43">
        <v>0</v>
      </c>
      <c r="AF237" s="43">
        <v>0</v>
      </c>
      <c r="AG237" s="43">
        <v>0</v>
      </c>
      <c r="AH237" s="43">
        <v>0</v>
      </c>
      <c r="AI237" s="35" t="s">
        <v>12</v>
      </c>
    </row>
    <row r="238" spans="1:35" ht="15" customHeight="1" x14ac:dyDescent="0.35">
      <c r="A238" s="29" t="s">
        <v>101</v>
      </c>
      <c r="B238" s="33" t="s">
        <v>43</v>
      </c>
      <c r="C238" s="43">
        <v>0</v>
      </c>
      <c r="D238" s="43">
        <v>0</v>
      </c>
      <c r="E238" s="43">
        <v>0</v>
      </c>
      <c r="F238" s="43">
        <v>0</v>
      </c>
      <c r="G238" s="43">
        <v>0</v>
      </c>
      <c r="H238" s="43">
        <v>0</v>
      </c>
      <c r="I238" s="43">
        <v>0</v>
      </c>
      <c r="J238" s="43">
        <v>0</v>
      </c>
      <c r="K238" s="43">
        <v>0</v>
      </c>
      <c r="L238" s="43">
        <v>0</v>
      </c>
      <c r="M238" s="43">
        <v>0</v>
      </c>
      <c r="N238" s="43">
        <v>0</v>
      </c>
      <c r="O238" s="43">
        <v>0</v>
      </c>
      <c r="P238" s="43">
        <v>0</v>
      </c>
      <c r="Q238" s="43">
        <v>0</v>
      </c>
      <c r="R238" s="43">
        <v>0</v>
      </c>
      <c r="S238" s="43">
        <v>0</v>
      </c>
      <c r="T238" s="43">
        <v>0</v>
      </c>
      <c r="U238" s="43">
        <v>0</v>
      </c>
      <c r="V238" s="43">
        <v>0</v>
      </c>
      <c r="W238" s="43">
        <v>0</v>
      </c>
      <c r="X238" s="43">
        <v>0</v>
      </c>
      <c r="Y238" s="43">
        <v>0</v>
      </c>
      <c r="Z238" s="43">
        <v>0</v>
      </c>
      <c r="AA238" s="43">
        <v>0</v>
      </c>
      <c r="AB238" s="43">
        <v>0</v>
      </c>
      <c r="AC238" s="43">
        <v>0</v>
      </c>
      <c r="AD238" s="43">
        <v>0</v>
      </c>
      <c r="AE238" s="43">
        <v>0</v>
      </c>
      <c r="AF238" s="43">
        <v>0</v>
      </c>
      <c r="AG238" s="43">
        <v>0</v>
      </c>
      <c r="AH238" s="43">
        <v>0</v>
      </c>
      <c r="AI238" s="35" t="s">
        <v>12</v>
      </c>
    </row>
    <row r="239" spans="1:35" ht="15" customHeight="1" x14ac:dyDescent="0.35">
      <c r="A239" s="29" t="s">
        <v>100</v>
      </c>
      <c r="B239" s="33" t="s">
        <v>41</v>
      </c>
      <c r="C239" s="43">
        <v>0</v>
      </c>
      <c r="D239" s="43">
        <v>0</v>
      </c>
      <c r="E239" s="43">
        <v>0</v>
      </c>
      <c r="F239" s="43">
        <v>0</v>
      </c>
      <c r="G239" s="43">
        <v>0</v>
      </c>
      <c r="H239" s="43">
        <v>0</v>
      </c>
      <c r="I239" s="43">
        <v>0</v>
      </c>
      <c r="J239" s="43">
        <v>51.807139999999997</v>
      </c>
      <c r="K239" s="43">
        <v>51.751010999999998</v>
      </c>
      <c r="L239" s="43">
        <v>51.714069000000002</v>
      </c>
      <c r="M239" s="43">
        <v>51.696907000000003</v>
      </c>
      <c r="N239" s="43">
        <v>51.697353</v>
      </c>
      <c r="O239" s="43">
        <v>51.717818999999999</v>
      </c>
      <c r="P239" s="43">
        <v>51.752403000000001</v>
      </c>
      <c r="Q239" s="43">
        <v>51.796658000000001</v>
      </c>
      <c r="R239" s="43">
        <v>51.785148999999997</v>
      </c>
      <c r="S239" s="43">
        <v>51.767391000000003</v>
      </c>
      <c r="T239" s="43">
        <v>51.753819</v>
      </c>
      <c r="U239" s="43">
        <v>51.744553000000003</v>
      </c>
      <c r="V239" s="43">
        <v>51.736786000000002</v>
      </c>
      <c r="W239" s="43">
        <v>51.731029999999997</v>
      </c>
      <c r="X239" s="43">
        <v>51.727806000000001</v>
      </c>
      <c r="Y239" s="43">
        <v>51.740409999999997</v>
      </c>
      <c r="Z239" s="43">
        <v>51.752144000000001</v>
      </c>
      <c r="AA239" s="43">
        <v>51.764912000000002</v>
      </c>
      <c r="AB239" s="43">
        <v>51.777611</v>
      </c>
      <c r="AC239" s="43">
        <v>51.789802999999999</v>
      </c>
      <c r="AD239" s="43">
        <v>51.803345</v>
      </c>
      <c r="AE239" s="43">
        <v>51.815212000000002</v>
      </c>
      <c r="AF239" s="43">
        <v>51.827517999999998</v>
      </c>
      <c r="AG239" s="43">
        <v>51.840004</v>
      </c>
      <c r="AH239" s="43">
        <v>51.846232999999998</v>
      </c>
      <c r="AI239" s="35" t="s">
        <v>12</v>
      </c>
    </row>
    <row r="240" spans="1:35" ht="15" customHeight="1" x14ac:dyDescent="0.35">
      <c r="A240" s="29" t="s">
        <v>99</v>
      </c>
      <c r="B240" s="33" t="s">
        <v>39</v>
      </c>
      <c r="C240" s="43">
        <v>0</v>
      </c>
      <c r="D240" s="43">
        <v>0</v>
      </c>
      <c r="E240" s="43">
        <v>0</v>
      </c>
      <c r="F240" s="43">
        <v>0</v>
      </c>
      <c r="G240" s="43">
        <v>0</v>
      </c>
      <c r="H240" s="43">
        <v>0</v>
      </c>
      <c r="I240" s="43">
        <v>0</v>
      </c>
      <c r="J240" s="43">
        <v>0</v>
      </c>
      <c r="K240" s="43">
        <v>0</v>
      </c>
      <c r="L240" s="43">
        <v>0</v>
      </c>
      <c r="M240" s="43">
        <v>0</v>
      </c>
      <c r="N240" s="43">
        <v>45.719597</v>
      </c>
      <c r="O240" s="43">
        <v>45.744419000000001</v>
      </c>
      <c r="P240" s="43">
        <v>45.781207999999999</v>
      </c>
      <c r="Q240" s="43">
        <v>45.826892999999998</v>
      </c>
      <c r="R240" s="43">
        <v>45.815272999999998</v>
      </c>
      <c r="S240" s="43">
        <v>45.796180999999997</v>
      </c>
      <c r="T240" s="43">
        <v>45.780949</v>
      </c>
      <c r="U240" s="43">
        <v>45.768982000000001</v>
      </c>
      <c r="V240" s="43">
        <v>45.759014000000001</v>
      </c>
      <c r="W240" s="43">
        <v>45.750965000000001</v>
      </c>
      <c r="X240" s="43">
        <v>45.744605999999997</v>
      </c>
      <c r="Y240" s="43">
        <v>45.752521999999999</v>
      </c>
      <c r="Z240" s="43">
        <v>45.760154999999997</v>
      </c>
      <c r="AA240" s="43">
        <v>45.768078000000003</v>
      </c>
      <c r="AB240" s="43">
        <v>45.775959</v>
      </c>
      <c r="AC240" s="43">
        <v>45.783732999999998</v>
      </c>
      <c r="AD240" s="43">
        <v>45.791851000000001</v>
      </c>
      <c r="AE240" s="43">
        <v>45.799480000000003</v>
      </c>
      <c r="AF240" s="43">
        <v>45.807270000000003</v>
      </c>
      <c r="AG240" s="43">
        <v>45.815097999999999</v>
      </c>
      <c r="AH240" s="43">
        <v>45.816752999999999</v>
      </c>
      <c r="AI240" s="35" t="s">
        <v>12</v>
      </c>
    </row>
    <row r="241" spans="1:35" ht="15" customHeight="1" x14ac:dyDescent="0.35">
      <c r="A241" s="29" t="s">
        <v>98</v>
      </c>
      <c r="B241" s="33" t="s">
        <v>37</v>
      </c>
      <c r="C241" s="43">
        <v>0</v>
      </c>
      <c r="D241" s="43">
        <v>0</v>
      </c>
      <c r="E241" s="43">
        <v>0</v>
      </c>
      <c r="F241" s="43">
        <v>0</v>
      </c>
      <c r="G241" s="43">
        <v>0</v>
      </c>
      <c r="H241" s="43">
        <v>0</v>
      </c>
      <c r="I241" s="43">
        <v>0</v>
      </c>
      <c r="J241" s="43">
        <v>0</v>
      </c>
      <c r="K241" s="43">
        <v>0</v>
      </c>
      <c r="L241" s="43">
        <v>0</v>
      </c>
      <c r="M241" s="43">
        <v>0</v>
      </c>
      <c r="N241" s="43">
        <v>45.118113999999998</v>
      </c>
      <c r="O241" s="43">
        <v>45.137008999999999</v>
      </c>
      <c r="P241" s="43">
        <v>45.169471999999999</v>
      </c>
      <c r="Q241" s="43">
        <v>45.211925999999998</v>
      </c>
      <c r="R241" s="43">
        <v>45.197955999999998</v>
      </c>
      <c r="S241" s="43">
        <v>45.177109000000002</v>
      </c>
      <c r="T241" s="43">
        <v>45.160407999999997</v>
      </c>
      <c r="U241" s="43">
        <v>45.147258999999998</v>
      </c>
      <c r="V241" s="43">
        <v>45.136177000000004</v>
      </c>
      <c r="W241" s="43">
        <v>45.127068000000001</v>
      </c>
      <c r="X241" s="43">
        <v>45.119705000000003</v>
      </c>
      <c r="Y241" s="43">
        <v>45.127887999999999</v>
      </c>
      <c r="Z241" s="43">
        <v>45.135803000000003</v>
      </c>
      <c r="AA241" s="43">
        <v>45.144089000000001</v>
      </c>
      <c r="AB241" s="43">
        <v>45.152363000000001</v>
      </c>
      <c r="AC241" s="43">
        <v>45.160473000000003</v>
      </c>
      <c r="AD241" s="43">
        <v>45.169044</v>
      </c>
      <c r="AE241" s="43">
        <v>45.177039999999998</v>
      </c>
      <c r="AF241" s="43">
        <v>45.185177000000003</v>
      </c>
      <c r="AG241" s="43">
        <v>45.193398000000002</v>
      </c>
      <c r="AH241" s="43">
        <v>45.195445999999997</v>
      </c>
      <c r="AI241" s="35" t="s">
        <v>12</v>
      </c>
    </row>
    <row r="242" spans="1:35" ht="15" customHeight="1" x14ac:dyDescent="0.35">
      <c r="A242" s="29" t="s">
        <v>97</v>
      </c>
      <c r="B242" s="33" t="s">
        <v>35</v>
      </c>
      <c r="C242" s="43">
        <v>0</v>
      </c>
      <c r="D242" s="43">
        <v>0</v>
      </c>
      <c r="E242" s="43">
        <v>0</v>
      </c>
      <c r="F242" s="43">
        <v>0</v>
      </c>
      <c r="G242" s="43">
        <v>0</v>
      </c>
      <c r="H242" s="43">
        <v>0</v>
      </c>
      <c r="I242" s="43">
        <v>0</v>
      </c>
      <c r="J242" s="43">
        <v>0</v>
      </c>
      <c r="K242" s="43">
        <v>0</v>
      </c>
      <c r="L242" s="43">
        <v>0</v>
      </c>
      <c r="M242" s="43">
        <v>0</v>
      </c>
      <c r="N242" s="43">
        <v>49.525767999999999</v>
      </c>
      <c r="O242" s="43">
        <v>49.55341</v>
      </c>
      <c r="P242" s="43">
        <v>49.592880000000001</v>
      </c>
      <c r="Q242" s="43">
        <v>49.640942000000003</v>
      </c>
      <c r="R242" s="43">
        <v>49.631542000000003</v>
      </c>
      <c r="S242" s="43">
        <v>49.614086</v>
      </c>
      <c r="T242" s="43">
        <v>49.600166000000002</v>
      </c>
      <c r="U242" s="43">
        <v>49.589581000000003</v>
      </c>
      <c r="V242" s="43">
        <v>49.580970999999998</v>
      </c>
      <c r="W242" s="43">
        <v>49.574058999999998</v>
      </c>
      <c r="X242" s="43">
        <v>49.568984999999998</v>
      </c>
      <c r="Y242" s="43">
        <v>49.577545000000001</v>
      </c>
      <c r="Z242" s="43">
        <v>49.585773000000003</v>
      </c>
      <c r="AA242" s="43">
        <v>49.594448</v>
      </c>
      <c r="AB242" s="43">
        <v>49.603133999999997</v>
      </c>
      <c r="AC242" s="43">
        <v>49.611561000000002</v>
      </c>
      <c r="AD242" s="43">
        <v>49.620612999999999</v>
      </c>
      <c r="AE242" s="43">
        <v>49.628985999999998</v>
      </c>
      <c r="AF242" s="43">
        <v>49.637497000000003</v>
      </c>
      <c r="AG242" s="43">
        <v>49.646144999999997</v>
      </c>
      <c r="AH242" s="43">
        <v>49.648601999999997</v>
      </c>
      <c r="AI242" s="35" t="s">
        <v>12</v>
      </c>
    </row>
    <row r="243" spans="1:35" ht="15" customHeight="1" x14ac:dyDescent="0.35">
      <c r="A243" s="29" t="s">
        <v>96</v>
      </c>
      <c r="B243" s="33" t="s">
        <v>33</v>
      </c>
      <c r="C243" s="43">
        <v>0</v>
      </c>
      <c r="D243" s="43">
        <v>0</v>
      </c>
      <c r="E243" s="43">
        <v>0</v>
      </c>
      <c r="F243" s="43">
        <v>0</v>
      </c>
      <c r="G243" s="43">
        <v>0</v>
      </c>
      <c r="H243" s="43">
        <v>0</v>
      </c>
      <c r="I243" s="43">
        <v>0</v>
      </c>
      <c r="J243" s="43">
        <v>0</v>
      </c>
      <c r="K243" s="43">
        <v>0</v>
      </c>
      <c r="L243" s="43">
        <v>0</v>
      </c>
      <c r="M243" s="43">
        <v>0</v>
      </c>
      <c r="N243" s="43">
        <v>76.308944999999994</v>
      </c>
      <c r="O243" s="43">
        <v>76.325325000000007</v>
      </c>
      <c r="P243" s="43">
        <v>76.355484000000004</v>
      </c>
      <c r="Q243" s="43">
        <v>76.395599000000004</v>
      </c>
      <c r="R243" s="43">
        <v>76.379493999999994</v>
      </c>
      <c r="S243" s="43">
        <v>76.356583000000001</v>
      </c>
      <c r="T243" s="43">
        <v>76.338042999999999</v>
      </c>
      <c r="U243" s="43">
        <v>76.323600999999996</v>
      </c>
      <c r="V243" s="43">
        <v>76.311515999999997</v>
      </c>
      <c r="W243" s="43">
        <v>76.301483000000005</v>
      </c>
      <c r="X243" s="43">
        <v>76.293792999999994</v>
      </c>
      <c r="Y243" s="43">
        <v>76.302764999999994</v>
      </c>
      <c r="Z243" s="43">
        <v>76.311347999999995</v>
      </c>
      <c r="AA243" s="43">
        <v>76.320496000000006</v>
      </c>
      <c r="AB243" s="43">
        <v>76.329802999999998</v>
      </c>
      <c r="AC243" s="43">
        <v>76.338775999999996</v>
      </c>
      <c r="AD243" s="43">
        <v>76.348372999999995</v>
      </c>
      <c r="AE243" s="43">
        <v>76.357162000000002</v>
      </c>
      <c r="AF243" s="43">
        <v>76.366135</v>
      </c>
      <c r="AG243" s="43">
        <v>76.375220999999996</v>
      </c>
      <c r="AH243" s="43">
        <v>76.378142999999994</v>
      </c>
      <c r="AI243" s="35" t="s">
        <v>12</v>
      </c>
    </row>
    <row r="244" spans="1:35" ht="15" customHeight="1" x14ac:dyDescent="0.35">
      <c r="A244" s="29" t="s">
        <v>698</v>
      </c>
      <c r="B244" s="33" t="s">
        <v>558</v>
      </c>
      <c r="C244" s="43">
        <v>0</v>
      </c>
      <c r="D244" s="43">
        <v>0</v>
      </c>
      <c r="E244" s="43">
        <v>0</v>
      </c>
      <c r="F244" s="43">
        <v>0</v>
      </c>
      <c r="G244" s="43">
        <v>0</v>
      </c>
      <c r="H244" s="43">
        <v>0</v>
      </c>
      <c r="I244" s="43">
        <v>0</v>
      </c>
      <c r="J244" s="43">
        <v>0</v>
      </c>
      <c r="K244" s="43">
        <v>0</v>
      </c>
      <c r="L244" s="43">
        <v>0</v>
      </c>
      <c r="M244" s="43">
        <v>0</v>
      </c>
      <c r="N244" s="43">
        <v>0</v>
      </c>
      <c r="O244" s="43">
        <v>0</v>
      </c>
      <c r="P244" s="43">
        <v>0</v>
      </c>
      <c r="Q244" s="43">
        <v>0</v>
      </c>
      <c r="R244" s="43">
        <v>0</v>
      </c>
      <c r="S244" s="43">
        <v>0</v>
      </c>
      <c r="T244" s="43">
        <v>0</v>
      </c>
      <c r="U244" s="43">
        <v>0</v>
      </c>
      <c r="V244" s="43">
        <v>0</v>
      </c>
      <c r="W244" s="43">
        <v>0</v>
      </c>
      <c r="X244" s="43">
        <v>0</v>
      </c>
      <c r="Y244" s="43">
        <v>0</v>
      </c>
      <c r="Z244" s="43">
        <v>0</v>
      </c>
      <c r="AA244" s="43">
        <v>0</v>
      </c>
      <c r="AB244" s="43">
        <v>0</v>
      </c>
      <c r="AC244" s="43">
        <v>0</v>
      </c>
      <c r="AD244" s="43">
        <v>0</v>
      </c>
      <c r="AE244" s="43">
        <v>0</v>
      </c>
      <c r="AF244" s="43">
        <v>0</v>
      </c>
      <c r="AG244" s="43">
        <v>0</v>
      </c>
      <c r="AH244" s="43">
        <v>0</v>
      </c>
      <c r="AI244" s="35" t="s">
        <v>12</v>
      </c>
    </row>
    <row r="245" spans="1:35" ht="15" customHeight="1" x14ac:dyDescent="0.35">
      <c r="A245" s="29" t="s">
        <v>699</v>
      </c>
      <c r="B245" s="33" t="s">
        <v>559</v>
      </c>
      <c r="C245" s="43">
        <v>0</v>
      </c>
      <c r="D245" s="43">
        <v>0</v>
      </c>
      <c r="E245" s="43">
        <v>0</v>
      </c>
      <c r="F245" s="43">
        <v>0</v>
      </c>
      <c r="G245" s="43">
        <v>0</v>
      </c>
      <c r="H245" s="43">
        <v>0</v>
      </c>
      <c r="I245" s="43">
        <v>0</v>
      </c>
      <c r="J245" s="43">
        <v>0</v>
      </c>
      <c r="K245" s="43">
        <v>0</v>
      </c>
      <c r="L245" s="43">
        <v>0</v>
      </c>
      <c r="M245" s="43">
        <v>0</v>
      </c>
      <c r="N245" s="43">
        <v>0</v>
      </c>
      <c r="O245" s="43">
        <v>0</v>
      </c>
      <c r="P245" s="43">
        <v>0</v>
      </c>
      <c r="Q245" s="43">
        <v>0</v>
      </c>
      <c r="R245" s="43">
        <v>0</v>
      </c>
      <c r="S245" s="43">
        <v>0</v>
      </c>
      <c r="T245" s="43">
        <v>0</v>
      </c>
      <c r="U245" s="43">
        <v>0</v>
      </c>
      <c r="V245" s="43">
        <v>0</v>
      </c>
      <c r="W245" s="43">
        <v>0</v>
      </c>
      <c r="X245" s="43">
        <v>0</v>
      </c>
      <c r="Y245" s="43">
        <v>0</v>
      </c>
      <c r="Z245" s="43">
        <v>0</v>
      </c>
      <c r="AA245" s="43">
        <v>0</v>
      </c>
      <c r="AB245" s="43">
        <v>0</v>
      </c>
      <c r="AC245" s="43">
        <v>0</v>
      </c>
      <c r="AD245" s="43">
        <v>0</v>
      </c>
      <c r="AE245" s="43">
        <v>0</v>
      </c>
      <c r="AF245" s="43">
        <v>0</v>
      </c>
      <c r="AG245" s="43">
        <v>0</v>
      </c>
      <c r="AH245" s="43">
        <v>0</v>
      </c>
      <c r="AI245" s="35" t="s">
        <v>12</v>
      </c>
    </row>
    <row r="247" spans="1:35" ht="15" customHeight="1" x14ac:dyDescent="0.35">
      <c r="A247" s="25"/>
      <c r="B247" s="32" t="s">
        <v>95</v>
      </c>
      <c r="C247" s="25"/>
      <c r="D247" s="25"/>
      <c r="E247" s="25"/>
      <c r="F247" s="25"/>
      <c r="G247" s="25"/>
      <c r="H247" s="25"/>
      <c r="I247" s="25"/>
      <c r="J247" s="25"/>
      <c r="K247" s="25"/>
      <c r="L247" s="25"/>
      <c r="M247" s="25"/>
      <c r="N247" s="25"/>
      <c r="O247" s="25"/>
      <c r="P247" s="25"/>
      <c r="Q247" s="25"/>
      <c r="R247" s="25"/>
      <c r="S247" s="25"/>
      <c r="T247" s="25"/>
      <c r="U247" s="25"/>
      <c r="V247" s="25"/>
      <c r="W247" s="25"/>
      <c r="X247" s="25"/>
      <c r="Y247" s="25"/>
      <c r="Z247" s="25"/>
      <c r="AA247" s="25"/>
      <c r="AB247" s="25"/>
      <c r="AC247" s="25"/>
      <c r="AD247" s="25"/>
      <c r="AE247" s="25"/>
      <c r="AF247" s="25"/>
      <c r="AG247" s="25"/>
      <c r="AH247" s="25"/>
      <c r="AI247" s="25"/>
    </row>
    <row r="248" spans="1:35" ht="15" customHeight="1" x14ac:dyDescent="0.35">
      <c r="A248" s="29" t="s">
        <v>94</v>
      </c>
      <c r="B248" s="33" t="s">
        <v>55</v>
      </c>
      <c r="C248" s="43">
        <v>0</v>
      </c>
      <c r="D248" s="43">
        <v>0</v>
      </c>
      <c r="E248" s="43">
        <v>0</v>
      </c>
      <c r="F248" s="43">
        <v>0</v>
      </c>
      <c r="G248" s="43">
        <v>0</v>
      </c>
      <c r="H248" s="43">
        <v>0</v>
      </c>
      <c r="I248" s="43">
        <v>0</v>
      </c>
      <c r="J248" s="43">
        <v>0</v>
      </c>
      <c r="K248" s="43">
        <v>0</v>
      </c>
      <c r="L248" s="43">
        <v>0</v>
      </c>
      <c r="M248" s="43">
        <v>0</v>
      </c>
      <c r="N248" s="43">
        <v>0</v>
      </c>
      <c r="O248" s="43">
        <v>0</v>
      </c>
      <c r="P248" s="43">
        <v>0</v>
      </c>
      <c r="Q248" s="43">
        <v>0</v>
      </c>
      <c r="R248" s="43">
        <v>0</v>
      </c>
      <c r="S248" s="43">
        <v>0</v>
      </c>
      <c r="T248" s="43">
        <v>0</v>
      </c>
      <c r="U248" s="43">
        <v>0</v>
      </c>
      <c r="V248" s="43">
        <v>0</v>
      </c>
      <c r="W248" s="43">
        <v>0</v>
      </c>
      <c r="X248" s="43">
        <v>0</v>
      </c>
      <c r="Y248" s="43">
        <v>82.945885000000004</v>
      </c>
      <c r="Z248" s="43">
        <v>82.959732000000002</v>
      </c>
      <c r="AA248" s="43">
        <v>82.974327000000002</v>
      </c>
      <c r="AB248" s="43">
        <v>82.988822999999996</v>
      </c>
      <c r="AC248" s="43">
        <v>83.003044000000003</v>
      </c>
      <c r="AD248" s="43">
        <v>83.018508999999995</v>
      </c>
      <c r="AE248" s="43">
        <v>83.031943999999996</v>
      </c>
      <c r="AF248" s="43">
        <v>83.045699999999997</v>
      </c>
      <c r="AG248" s="43">
        <v>83.059455999999997</v>
      </c>
      <c r="AH248" s="43">
        <v>83.067001000000005</v>
      </c>
      <c r="AI248" s="35" t="s">
        <v>12</v>
      </c>
    </row>
    <row r="249" spans="1:35" ht="15" customHeight="1" x14ac:dyDescent="0.35">
      <c r="A249" s="29" t="s">
        <v>93</v>
      </c>
      <c r="B249" s="33" t="s">
        <v>53</v>
      </c>
      <c r="C249" s="43">
        <v>45.327979999999997</v>
      </c>
      <c r="D249" s="43">
        <v>45.698661999999999</v>
      </c>
      <c r="E249" s="43">
        <v>46.197471999999998</v>
      </c>
      <c r="F249" s="43">
        <v>46.693522999999999</v>
      </c>
      <c r="G249" s="43">
        <v>46.836903</v>
      </c>
      <c r="H249" s="43">
        <v>46.890380999999998</v>
      </c>
      <c r="I249" s="43">
        <v>47.083041999999999</v>
      </c>
      <c r="J249" s="43">
        <v>47.090034000000003</v>
      </c>
      <c r="K249" s="43">
        <v>47.082855000000002</v>
      </c>
      <c r="L249" s="43">
        <v>47.092022</v>
      </c>
      <c r="M249" s="43">
        <v>47.115299</v>
      </c>
      <c r="N249" s="43">
        <v>47.147621000000001</v>
      </c>
      <c r="O249" s="43">
        <v>47.199576999999998</v>
      </c>
      <c r="P249" s="43">
        <v>47.262264000000002</v>
      </c>
      <c r="Q249" s="43">
        <v>47.329956000000003</v>
      </c>
      <c r="R249" s="43">
        <v>47.340214000000003</v>
      </c>
      <c r="S249" s="43">
        <v>47.343558999999999</v>
      </c>
      <c r="T249" s="43">
        <v>47.350292000000003</v>
      </c>
      <c r="U249" s="43">
        <v>47.362166999999999</v>
      </c>
      <c r="V249" s="43">
        <v>47.372433000000001</v>
      </c>
      <c r="W249" s="43">
        <v>47.383555999999999</v>
      </c>
      <c r="X249" s="43">
        <v>47.399399000000003</v>
      </c>
      <c r="Y249" s="43">
        <v>47.425392000000002</v>
      </c>
      <c r="Z249" s="43">
        <v>47.448959000000002</v>
      </c>
      <c r="AA249" s="43">
        <v>47.475448999999998</v>
      </c>
      <c r="AB249" s="43">
        <v>47.501854000000002</v>
      </c>
      <c r="AC249" s="43">
        <v>47.527081000000003</v>
      </c>
      <c r="AD249" s="43">
        <v>47.556080000000001</v>
      </c>
      <c r="AE249" s="43">
        <v>47.580193000000001</v>
      </c>
      <c r="AF249" s="43">
        <v>47.605854000000001</v>
      </c>
      <c r="AG249" s="43">
        <v>47.632095</v>
      </c>
      <c r="AH249" s="43">
        <v>47.652450999999999</v>
      </c>
      <c r="AI249" s="35">
        <v>1.6149999999999999E-3</v>
      </c>
    </row>
    <row r="250" spans="1:35" ht="15" customHeight="1" x14ac:dyDescent="0.35">
      <c r="A250" s="29" t="s">
        <v>92</v>
      </c>
      <c r="B250" s="33" t="s">
        <v>51</v>
      </c>
      <c r="C250" s="43">
        <v>34.520511999999997</v>
      </c>
      <c r="D250" s="43">
        <v>34.823853</v>
      </c>
      <c r="E250" s="43">
        <v>35.055312999999998</v>
      </c>
      <c r="F250" s="43">
        <v>35.319004</v>
      </c>
      <c r="G250" s="43">
        <v>35.480167000000002</v>
      </c>
      <c r="H250" s="43">
        <v>35.503791999999997</v>
      </c>
      <c r="I250" s="43">
        <v>36.029105999999999</v>
      </c>
      <c r="J250" s="43">
        <v>36.027321000000001</v>
      </c>
      <c r="K250" s="43">
        <v>36.021487999999998</v>
      </c>
      <c r="L250" s="43">
        <v>36.032845000000002</v>
      </c>
      <c r="M250" s="43">
        <v>36.05883</v>
      </c>
      <c r="N250" s="43">
        <v>36.092941000000003</v>
      </c>
      <c r="O250" s="43">
        <v>36.147002999999998</v>
      </c>
      <c r="P250" s="43">
        <v>36.211334000000001</v>
      </c>
      <c r="Q250" s="43">
        <v>36.280258000000003</v>
      </c>
      <c r="R250" s="43">
        <v>36.293475999999998</v>
      </c>
      <c r="S250" s="43">
        <v>36.299885000000003</v>
      </c>
      <c r="T250" s="43">
        <v>36.308681</v>
      </c>
      <c r="U250" s="43">
        <v>36.322102000000001</v>
      </c>
      <c r="V250" s="43">
        <v>36.334254999999999</v>
      </c>
      <c r="W250" s="43">
        <v>36.347583999999998</v>
      </c>
      <c r="X250" s="43">
        <v>36.365958999999997</v>
      </c>
      <c r="Y250" s="43">
        <v>36.393996999999999</v>
      </c>
      <c r="Z250" s="43">
        <v>36.419220000000003</v>
      </c>
      <c r="AA250" s="43">
        <v>36.447586000000001</v>
      </c>
      <c r="AB250" s="43">
        <v>36.475887</v>
      </c>
      <c r="AC250" s="43">
        <v>36.503002000000002</v>
      </c>
      <c r="AD250" s="43">
        <v>36.534171999999998</v>
      </c>
      <c r="AE250" s="43">
        <v>36.559963000000003</v>
      </c>
      <c r="AF250" s="43">
        <v>36.587490000000003</v>
      </c>
      <c r="AG250" s="43">
        <v>36.615577999999999</v>
      </c>
      <c r="AH250" s="43">
        <v>36.637889999999999</v>
      </c>
      <c r="AI250" s="35">
        <v>1.9220000000000001E-3</v>
      </c>
    </row>
    <row r="251" spans="1:35" ht="15" customHeight="1" x14ac:dyDescent="0.35">
      <c r="A251" s="29" t="s">
        <v>91</v>
      </c>
      <c r="B251" s="33" t="s">
        <v>49</v>
      </c>
      <c r="C251" s="43">
        <v>33.071857000000001</v>
      </c>
      <c r="D251" s="43">
        <v>33.373275999999997</v>
      </c>
      <c r="E251" s="43">
        <v>33.538139000000001</v>
      </c>
      <c r="F251" s="43">
        <v>33.714714000000001</v>
      </c>
      <c r="G251" s="43">
        <v>33.790989000000003</v>
      </c>
      <c r="H251" s="43">
        <v>33.816668999999997</v>
      </c>
      <c r="I251" s="43">
        <v>34.602837000000001</v>
      </c>
      <c r="J251" s="43">
        <v>34.590538000000002</v>
      </c>
      <c r="K251" s="43">
        <v>34.573109000000002</v>
      </c>
      <c r="L251" s="43">
        <v>34.573616000000001</v>
      </c>
      <c r="M251" s="43">
        <v>34.589503999999998</v>
      </c>
      <c r="N251" s="43">
        <v>34.615760999999999</v>
      </c>
      <c r="O251" s="43">
        <v>34.662891000000002</v>
      </c>
      <c r="P251" s="43">
        <v>34.721428000000003</v>
      </c>
      <c r="Q251" s="43">
        <v>34.785373999999997</v>
      </c>
      <c r="R251" s="43">
        <v>34.793159000000003</v>
      </c>
      <c r="S251" s="43">
        <v>34.795802999999999</v>
      </c>
      <c r="T251" s="43">
        <v>34.800919</v>
      </c>
      <c r="U251" s="43">
        <v>34.811034999999997</v>
      </c>
      <c r="V251" s="43">
        <v>34.820129000000001</v>
      </c>
      <c r="W251" s="43">
        <v>34.830382999999998</v>
      </c>
      <c r="X251" s="43">
        <v>34.845047000000001</v>
      </c>
      <c r="Y251" s="43">
        <v>34.870486999999997</v>
      </c>
      <c r="Z251" s="43">
        <v>34.893497000000004</v>
      </c>
      <c r="AA251" s="43">
        <v>34.919113000000003</v>
      </c>
      <c r="AB251" s="43">
        <v>34.944564999999997</v>
      </c>
      <c r="AC251" s="43">
        <v>34.969012999999997</v>
      </c>
      <c r="AD251" s="43">
        <v>34.996699999999997</v>
      </c>
      <c r="AE251" s="43">
        <v>35.019703</v>
      </c>
      <c r="AF251" s="43">
        <v>35.044215999999999</v>
      </c>
      <c r="AG251" s="43">
        <v>35.069054000000001</v>
      </c>
      <c r="AH251" s="43">
        <v>35.088039000000002</v>
      </c>
      <c r="AI251" s="35">
        <v>1.9109999999999999E-3</v>
      </c>
    </row>
    <row r="252" spans="1:35" ht="15" customHeight="1" x14ac:dyDescent="0.35">
      <c r="A252" s="29" t="s">
        <v>90</v>
      </c>
      <c r="B252" s="33" t="s">
        <v>47</v>
      </c>
      <c r="C252" s="43">
        <v>40.727215000000001</v>
      </c>
      <c r="D252" s="43">
        <v>41.017581999999997</v>
      </c>
      <c r="E252" s="43">
        <v>41.246174000000003</v>
      </c>
      <c r="F252" s="43">
        <v>41.418365000000001</v>
      </c>
      <c r="G252" s="43">
        <v>41.436588</v>
      </c>
      <c r="H252" s="43">
        <v>41.428317999999997</v>
      </c>
      <c r="I252" s="43">
        <v>42.012905000000003</v>
      </c>
      <c r="J252" s="43">
        <v>41.974781</v>
      </c>
      <c r="K252" s="43">
        <v>41.934421999999998</v>
      </c>
      <c r="L252" s="43">
        <v>41.914631</v>
      </c>
      <c r="M252" s="43">
        <v>41.913822000000003</v>
      </c>
      <c r="N252" s="43">
        <v>41.927146999999998</v>
      </c>
      <c r="O252" s="43">
        <v>41.963664999999999</v>
      </c>
      <c r="P252" s="43">
        <v>42.013953999999998</v>
      </c>
      <c r="Q252" s="43">
        <v>42.07159</v>
      </c>
      <c r="R252" s="43">
        <v>42.074055000000001</v>
      </c>
      <c r="S252" s="43">
        <v>42.071444999999997</v>
      </c>
      <c r="T252" s="43">
        <v>42.072090000000003</v>
      </c>
      <c r="U252" s="43">
        <v>42.077621000000001</v>
      </c>
      <c r="V252" s="43">
        <v>42.082630000000002</v>
      </c>
      <c r="W252" s="43">
        <v>42.088825</v>
      </c>
      <c r="X252" s="43">
        <v>42.099246999999998</v>
      </c>
      <c r="Y252" s="43">
        <v>42.122734000000001</v>
      </c>
      <c r="Z252" s="43">
        <v>42.144005</v>
      </c>
      <c r="AA252" s="43">
        <v>42.167641000000003</v>
      </c>
      <c r="AB252" s="43">
        <v>42.191085999999999</v>
      </c>
      <c r="AC252" s="43">
        <v>42.213504999999998</v>
      </c>
      <c r="AD252" s="43">
        <v>42.238869000000001</v>
      </c>
      <c r="AE252" s="43">
        <v>42.260002</v>
      </c>
      <c r="AF252" s="43">
        <v>42.282383000000003</v>
      </c>
      <c r="AG252" s="43">
        <v>42.305076999999997</v>
      </c>
      <c r="AH252" s="43">
        <v>42.321758000000003</v>
      </c>
      <c r="AI252" s="35">
        <v>1.24E-3</v>
      </c>
    </row>
    <row r="253" spans="1:35" ht="15" customHeight="1" x14ac:dyDescent="0.35">
      <c r="A253" s="29" t="s">
        <v>89</v>
      </c>
      <c r="B253" s="33" t="s">
        <v>45</v>
      </c>
      <c r="C253" s="43">
        <v>108.015373</v>
      </c>
      <c r="D253" s="43">
        <v>108.39971199999999</v>
      </c>
      <c r="E253" s="43">
        <v>108.742485</v>
      </c>
      <c r="F253" s="43">
        <v>108.88851200000001</v>
      </c>
      <c r="G253" s="43">
        <v>109.127319</v>
      </c>
      <c r="H253" s="43">
        <v>109.112404</v>
      </c>
      <c r="I253" s="43">
        <v>109.297005</v>
      </c>
      <c r="J253" s="43">
        <v>109.26445</v>
      </c>
      <c r="K253" s="43">
        <v>109.23085</v>
      </c>
      <c r="L253" s="43">
        <v>109.21648399999999</v>
      </c>
      <c r="M253" s="43">
        <v>109.21893300000001</v>
      </c>
      <c r="N253" s="43">
        <v>109.234917</v>
      </c>
      <c r="O253" s="43">
        <v>109.27327</v>
      </c>
      <c r="P253" s="43">
        <v>109.324791</v>
      </c>
      <c r="Q253" s="43">
        <v>109.38343</v>
      </c>
      <c r="R253" s="43">
        <v>109.385384</v>
      </c>
      <c r="S253" s="43">
        <v>109.380318</v>
      </c>
      <c r="T253" s="43">
        <v>109.37855500000001</v>
      </c>
      <c r="U253" s="43">
        <v>109.382469</v>
      </c>
      <c r="V253" s="43">
        <v>109.386703</v>
      </c>
      <c r="W253" s="43">
        <v>109.392105</v>
      </c>
      <c r="X253" s="43">
        <v>109.40197000000001</v>
      </c>
      <c r="Y253" s="43">
        <v>109.424767</v>
      </c>
      <c r="Z253" s="43">
        <v>109.44560199999999</v>
      </c>
      <c r="AA253" s="43">
        <v>109.469009</v>
      </c>
      <c r="AB253" s="43">
        <v>109.492294</v>
      </c>
      <c r="AC253" s="43">
        <v>109.51442</v>
      </c>
      <c r="AD253" s="43">
        <v>109.53964999999999</v>
      </c>
      <c r="AE253" s="43">
        <v>109.56070699999999</v>
      </c>
      <c r="AF253" s="43">
        <v>109.582886</v>
      </c>
      <c r="AG253" s="43">
        <v>109.605469</v>
      </c>
      <c r="AH253" s="43">
        <v>109.62190200000001</v>
      </c>
      <c r="AI253" s="35">
        <v>4.7600000000000002E-4</v>
      </c>
    </row>
    <row r="254" spans="1:35" ht="15" customHeight="1" x14ac:dyDescent="0.35">
      <c r="A254" s="29" t="s">
        <v>700</v>
      </c>
      <c r="B254" s="33" t="s">
        <v>556</v>
      </c>
      <c r="C254" s="43">
        <v>32.210602000000002</v>
      </c>
      <c r="D254" s="43">
        <v>32.492424</v>
      </c>
      <c r="E254" s="43">
        <v>32.671143000000001</v>
      </c>
      <c r="F254" s="43">
        <v>32.889113999999999</v>
      </c>
      <c r="G254" s="43">
        <v>32.995674000000001</v>
      </c>
      <c r="H254" s="43">
        <v>33.005020000000002</v>
      </c>
      <c r="I254" s="43">
        <v>33.541907999999999</v>
      </c>
      <c r="J254" s="43">
        <v>33.514083999999997</v>
      </c>
      <c r="K254" s="43">
        <v>33.488639999999997</v>
      </c>
      <c r="L254" s="43">
        <v>33.480483999999997</v>
      </c>
      <c r="M254" s="43">
        <v>33.488419</v>
      </c>
      <c r="N254" s="43">
        <v>33.508845999999998</v>
      </c>
      <c r="O254" s="43">
        <v>33.548423999999997</v>
      </c>
      <c r="P254" s="43">
        <v>33.599651000000001</v>
      </c>
      <c r="Q254" s="43">
        <v>33.657753</v>
      </c>
      <c r="R254" s="43">
        <v>33.660435</v>
      </c>
      <c r="S254" s="43">
        <v>33.656421999999999</v>
      </c>
      <c r="T254" s="43">
        <v>33.655464000000002</v>
      </c>
      <c r="U254" s="43">
        <v>33.659030999999999</v>
      </c>
      <c r="V254" s="43">
        <v>33.662574999999997</v>
      </c>
      <c r="W254" s="43">
        <v>33.667534000000003</v>
      </c>
      <c r="X254" s="43">
        <v>33.676121000000002</v>
      </c>
      <c r="Y254" s="43">
        <v>33.696399999999997</v>
      </c>
      <c r="Z254" s="43">
        <v>33.714962</v>
      </c>
      <c r="AA254" s="43">
        <v>33.735537999999998</v>
      </c>
      <c r="AB254" s="43">
        <v>33.756073000000001</v>
      </c>
      <c r="AC254" s="43">
        <v>33.775902000000002</v>
      </c>
      <c r="AD254" s="43">
        <v>33.798259999999999</v>
      </c>
      <c r="AE254" s="43">
        <v>33.817135</v>
      </c>
      <c r="AF254" s="43">
        <v>33.84404</v>
      </c>
      <c r="AG254" s="43">
        <v>33.878138999999997</v>
      </c>
      <c r="AH254" s="43">
        <v>33.906146999999997</v>
      </c>
      <c r="AI254" s="35">
        <v>1.6559999999999999E-3</v>
      </c>
    </row>
    <row r="255" spans="1:35" ht="15" customHeight="1" x14ac:dyDescent="0.35">
      <c r="A255" s="29" t="s">
        <v>701</v>
      </c>
      <c r="B255" s="33" t="s">
        <v>557</v>
      </c>
      <c r="C255" s="43">
        <v>41.492713999999999</v>
      </c>
      <c r="D255" s="43">
        <v>41.773476000000002</v>
      </c>
      <c r="E255" s="43">
        <v>41.937385999999996</v>
      </c>
      <c r="F255" s="43">
        <v>42.082583999999997</v>
      </c>
      <c r="G255" s="43">
        <v>42.181567999999999</v>
      </c>
      <c r="H255" s="43">
        <v>42.248187999999999</v>
      </c>
      <c r="I255" s="43">
        <v>42.692867</v>
      </c>
      <c r="J255" s="43">
        <v>42.628799000000001</v>
      </c>
      <c r="K255" s="43">
        <v>42.576827999999999</v>
      </c>
      <c r="L255" s="43">
        <v>42.544296000000003</v>
      </c>
      <c r="M255" s="43">
        <v>42.531502000000003</v>
      </c>
      <c r="N255" s="43">
        <v>42.535834999999999</v>
      </c>
      <c r="O255" s="43">
        <v>42.561400999999996</v>
      </c>
      <c r="P255" s="43">
        <v>42.601494000000002</v>
      </c>
      <c r="Q255" s="43">
        <v>42.650329999999997</v>
      </c>
      <c r="R255" s="43">
        <v>42.642876000000001</v>
      </c>
      <c r="S255" s="43">
        <v>42.629555000000003</v>
      </c>
      <c r="T255" s="43">
        <v>42.620154999999997</v>
      </c>
      <c r="U255" s="43">
        <v>42.614947999999998</v>
      </c>
      <c r="V255" s="43">
        <v>42.610354999999998</v>
      </c>
      <c r="W255" s="43">
        <v>42.607425999999997</v>
      </c>
      <c r="X255" s="43">
        <v>42.607574</v>
      </c>
      <c r="Y255" s="43">
        <v>42.622467</v>
      </c>
      <c r="Z255" s="43">
        <v>42.636253000000004</v>
      </c>
      <c r="AA255" s="43">
        <v>42.651465999999999</v>
      </c>
      <c r="AB255" s="43">
        <v>42.666671999999998</v>
      </c>
      <c r="AC255" s="43">
        <v>42.681266999999998</v>
      </c>
      <c r="AD255" s="43">
        <v>42.697678000000003</v>
      </c>
      <c r="AE255" s="43">
        <v>42.711860999999999</v>
      </c>
      <c r="AF255" s="43">
        <v>42.726627000000001</v>
      </c>
      <c r="AG255" s="43">
        <v>42.741768</v>
      </c>
      <c r="AH255" s="43">
        <v>42.750796999999999</v>
      </c>
      <c r="AI255" s="35">
        <v>9.6400000000000001E-4</v>
      </c>
    </row>
    <row r="256" spans="1:35" ht="15" customHeight="1" x14ac:dyDescent="0.35">
      <c r="A256" s="29" t="s">
        <v>88</v>
      </c>
      <c r="B256" s="33" t="s">
        <v>43</v>
      </c>
      <c r="C256" s="43">
        <v>0</v>
      </c>
      <c r="D256" s="43">
        <v>38.766227999999998</v>
      </c>
      <c r="E256" s="43">
        <v>38.927852999999999</v>
      </c>
      <c r="F256" s="43">
        <v>39.252353999999997</v>
      </c>
      <c r="G256" s="43">
        <v>39.314383999999997</v>
      </c>
      <c r="H256" s="43">
        <v>39.448391000000001</v>
      </c>
      <c r="I256" s="43">
        <v>39.899509000000002</v>
      </c>
      <c r="J256" s="43">
        <v>39.856709000000002</v>
      </c>
      <c r="K256" s="43">
        <v>39.824370999999999</v>
      </c>
      <c r="L256" s="43">
        <v>39.808197</v>
      </c>
      <c r="M256" s="43">
        <v>39.808743</v>
      </c>
      <c r="N256" s="43">
        <v>39.824047</v>
      </c>
      <c r="O256" s="43">
        <v>39.856471999999997</v>
      </c>
      <c r="P256" s="43">
        <v>39.900902000000002</v>
      </c>
      <c r="Q256" s="43">
        <v>39.953361999999998</v>
      </c>
      <c r="R256" s="43">
        <v>39.949058999999998</v>
      </c>
      <c r="S256" s="43">
        <v>39.937835999999997</v>
      </c>
      <c r="T256" s="43">
        <v>39.930259999999997</v>
      </c>
      <c r="U256" s="43">
        <v>39.926628000000001</v>
      </c>
      <c r="V256" s="43">
        <v>39.924003999999996</v>
      </c>
      <c r="W256" s="43">
        <v>39.923057999999997</v>
      </c>
      <c r="X256" s="43">
        <v>39.924934</v>
      </c>
      <c r="Y256" s="43">
        <v>39.939628999999996</v>
      </c>
      <c r="Z256" s="43">
        <v>39.953304000000003</v>
      </c>
      <c r="AA256" s="43">
        <v>39.968266</v>
      </c>
      <c r="AB256" s="43">
        <v>39.983246000000001</v>
      </c>
      <c r="AC256" s="43">
        <v>39.997818000000002</v>
      </c>
      <c r="AD256" s="43">
        <v>40.014029999999998</v>
      </c>
      <c r="AE256" s="43">
        <v>40.028038000000002</v>
      </c>
      <c r="AF256" s="43">
        <v>40.042656000000001</v>
      </c>
      <c r="AG256" s="43">
        <v>40.057639999999999</v>
      </c>
      <c r="AH256" s="43">
        <v>40.066586000000001</v>
      </c>
      <c r="AI256" s="35" t="s">
        <v>12</v>
      </c>
    </row>
    <row r="257" spans="1:35" ht="15" customHeight="1" x14ac:dyDescent="0.35">
      <c r="A257" s="29" t="s">
        <v>87</v>
      </c>
      <c r="B257" s="33" t="s">
        <v>41</v>
      </c>
      <c r="C257" s="43">
        <v>44.356994999999998</v>
      </c>
      <c r="D257" s="43">
        <v>44.655048000000001</v>
      </c>
      <c r="E257" s="43">
        <v>44.790852000000001</v>
      </c>
      <c r="F257" s="43">
        <v>44.790928000000001</v>
      </c>
      <c r="G257" s="43">
        <v>44.794677999999998</v>
      </c>
      <c r="H257" s="43">
        <v>44.923748000000003</v>
      </c>
      <c r="I257" s="43">
        <v>45.568657000000002</v>
      </c>
      <c r="J257" s="43">
        <v>45.502850000000002</v>
      </c>
      <c r="K257" s="43">
        <v>45.449528000000001</v>
      </c>
      <c r="L257" s="43">
        <v>45.416041999999997</v>
      </c>
      <c r="M257" s="43">
        <v>45.402389999999997</v>
      </c>
      <c r="N257" s="43">
        <v>45.405540000000002</v>
      </c>
      <c r="O257" s="43">
        <v>45.430016000000002</v>
      </c>
      <c r="P257" s="43">
        <v>45.468884000000003</v>
      </c>
      <c r="Q257" s="43">
        <v>45.517001999999998</v>
      </c>
      <c r="R257" s="43">
        <v>45.509734999999999</v>
      </c>
      <c r="S257" s="43">
        <v>45.496665999999998</v>
      </c>
      <c r="T257" s="43">
        <v>45.487594999999999</v>
      </c>
      <c r="U257" s="43">
        <v>45.483555000000003</v>
      </c>
      <c r="V257" s="43">
        <v>45.480331</v>
      </c>
      <c r="W257" s="43">
        <v>45.478923999999999</v>
      </c>
      <c r="X257" s="43">
        <v>45.481341999999998</v>
      </c>
      <c r="Y257" s="43">
        <v>45.499164999999998</v>
      </c>
      <c r="Z257" s="43">
        <v>45.515633000000001</v>
      </c>
      <c r="AA257" s="43">
        <v>45.534039</v>
      </c>
      <c r="AB257" s="43">
        <v>45.552494000000003</v>
      </c>
      <c r="AC257" s="43">
        <v>45.570213000000003</v>
      </c>
      <c r="AD257" s="43">
        <v>45.590457999999998</v>
      </c>
      <c r="AE257" s="43">
        <v>45.607716000000003</v>
      </c>
      <c r="AF257" s="43">
        <v>45.625945999999999</v>
      </c>
      <c r="AG257" s="43">
        <v>45.64481</v>
      </c>
      <c r="AH257" s="43">
        <v>45.657817999999999</v>
      </c>
      <c r="AI257" s="35">
        <v>9.3300000000000002E-4</v>
      </c>
    </row>
    <row r="258" spans="1:35" ht="15" customHeight="1" x14ac:dyDescent="0.35">
      <c r="A258" s="29" t="s">
        <v>86</v>
      </c>
      <c r="B258" s="33" t="s">
        <v>39</v>
      </c>
      <c r="C258" s="43">
        <v>0</v>
      </c>
      <c r="D258" s="43">
        <v>38.526237000000002</v>
      </c>
      <c r="E258" s="43">
        <v>38.723174999999998</v>
      </c>
      <c r="F258" s="43">
        <v>38.882579999999997</v>
      </c>
      <c r="G258" s="43">
        <v>38.937457999999999</v>
      </c>
      <c r="H258" s="43">
        <v>39.119301</v>
      </c>
      <c r="I258" s="43">
        <v>39.743907999999998</v>
      </c>
      <c r="J258" s="43">
        <v>39.695220999999997</v>
      </c>
      <c r="K258" s="43">
        <v>39.656993999999997</v>
      </c>
      <c r="L258" s="43">
        <v>39.634430000000002</v>
      </c>
      <c r="M258" s="43">
        <v>39.628715999999997</v>
      </c>
      <c r="N258" s="43">
        <v>39.638762999999997</v>
      </c>
      <c r="O258" s="43">
        <v>39.664786999999997</v>
      </c>
      <c r="P258" s="43">
        <v>39.702903999999997</v>
      </c>
      <c r="Q258" s="43">
        <v>39.749744</v>
      </c>
      <c r="R258" s="43">
        <v>39.739445000000003</v>
      </c>
      <c r="S258" s="43">
        <v>39.721778999999998</v>
      </c>
      <c r="T258" s="43">
        <v>39.707847999999998</v>
      </c>
      <c r="U258" s="43">
        <v>39.697330000000001</v>
      </c>
      <c r="V258" s="43">
        <v>39.688643999999996</v>
      </c>
      <c r="W258" s="43">
        <v>39.681843000000001</v>
      </c>
      <c r="X258" s="43">
        <v>39.676986999999997</v>
      </c>
      <c r="Y258" s="43">
        <v>39.686241000000003</v>
      </c>
      <c r="Z258" s="43">
        <v>39.695061000000003</v>
      </c>
      <c r="AA258" s="43">
        <v>39.704341999999997</v>
      </c>
      <c r="AB258" s="43">
        <v>39.7136</v>
      </c>
      <c r="AC258" s="43">
        <v>39.722675000000002</v>
      </c>
      <c r="AD258" s="43">
        <v>39.732334000000002</v>
      </c>
      <c r="AE258" s="43">
        <v>39.741177</v>
      </c>
      <c r="AF258" s="43">
        <v>39.750286000000003</v>
      </c>
      <c r="AG258" s="43">
        <v>39.759453000000001</v>
      </c>
      <c r="AH258" s="43">
        <v>39.762455000000003</v>
      </c>
      <c r="AI258" s="35" t="s">
        <v>12</v>
      </c>
    </row>
    <row r="259" spans="1:35" ht="15" customHeight="1" x14ac:dyDescent="0.35">
      <c r="A259" s="29" t="s">
        <v>85</v>
      </c>
      <c r="B259" s="33" t="s">
        <v>37</v>
      </c>
      <c r="C259" s="43">
        <v>37.117226000000002</v>
      </c>
      <c r="D259" s="43">
        <v>37.471020000000003</v>
      </c>
      <c r="E259" s="43">
        <v>37.863289000000002</v>
      </c>
      <c r="F259" s="43">
        <v>38.084826999999997</v>
      </c>
      <c r="G259" s="43">
        <v>38.291778999999998</v>
      </c>
      <c r="H259" s="43">
        <v>38.574688000000002</v>
      </c>
      <c r="I259" s="43">
        <v>39.005932000000001</v>
      </c>
      <c r="J259" s="43">
        <v>38.943644999999997</v>
      </c>
      <c r="K259" s="43">
        <v>38.893287999999998</v>
      </c>
      <c r="L259" s="43">
        <v>38.861049999999999</v>
      </c>
      <c r="M259" s="43">
        <v>38.847884999999998</v>
      </c>
      <c r="N259" s="43">
        <v>38.852024</v>
      </c>
      <c r="O259" s="43">
        <v>38.874943000000002</v>
      </c>
      <c r="P259" s="43">
        <v>38.911414999999998</v>
      </c>
      <c r="Q259" s="43">
        <v>38.957324999999997</v>
      </c>
      <c r="R259" s="43">
        <v>38.947346000000003</v>
      </c>
      <c r="S259" s="43">
        <v>38.930945999999999</v>
      </c>
      <c r="T259" s="43">
        <v>38.918574999999997</v>
      </c>
      <c r="U259" s="43">
        <v>38.910483999999997</v>
      </c>
      <c r="V259" s="43">
        <v>38.904060000000001</v>
      </c>
      <c r="W259" s="43">
        <v>38.899676999999997</v>
      </c>
      <c r="X259" s="43">
        <v>38.898197000000003</v>
      </c>
      <c r="Y259" s="43">
        <v>38.911732000000001</v>
      </c>
      <c r="Z259" s="43">
        <v>38.924461000000001</v>
      </c>
      <c r="AA259" s="43">
        <v>38.938437999999998</v>
      </c>
      <c r="AB259" s="43">
        <v>38.952530000000003</v>
      </c>
      <c r="AC259" s="43">
        <v>38.966309000000003</v>
      </c>
      <c r="AD259" s="43">
        <v>38.981712000000002</v>
      </c>
      <c r="AE259" s="43">
        <v>38.995193</v>
      </c>
      <c r="AF259" s="43">
        <v>39.009487</v>
      </c>
      <c r="AG259" s="43">
        <v>39.024124</v>
      </c>
      <c r="AH259" s="43">
        <v>39.032859999999999</v>
      </c>
      <c r="AI259" s="35">
        <v>1.6249999999999999E-3</v>
      </c>
    </row>
    <row r="260" spans="1:35" ht="15" customHeight="1" x14ac:dyDescent="0.35">
      <c r="A260" s="29" t="s">
        <v>84</v>
      </c>
      <c r="B260" s="33" t="s">
        <v>35</v>
      </c>
      <c r="C260" s="43">
        <v>41.260860000000001</v>
      </c>
      <c r="D260" s="43">
        <v>41.645629999999997</v>
      </c>
      <c r="E260" s="43">
        <v>42.031139000000003</v>
      </c>
      <c r="F260" s="43">
        <v>42.306297000000001</v>
      </c>
      <c r="G260" s="43">
        <v>42.537292000000001</v>
      </c>
      <c r="H260" s="43">
        <v>42.831940000000003</v>
      </c>
      <c r="I260" s="43">
        <v>43.298034999999999</v>
      </c>
      <c r="J260" s="43">
        <v>43.255661000000003</v>
      </c>
      <c r="K260" s="43">
        <v>43.223678999999997</v>
      </c>
      <c r="L260" s="43">
        <v>43.207909000000001</v>
      </c>
      <c r="M260" s="43">
        <v>43.208838999999998</v>
      </c>
      <c r="N260" s="43">
        <v>43.224696999999999</v>
      </c>
      <c r="O260" s="43">
        <v>43.257438999999998</v>
      </c>
      <c r="P260" s="43">
        <v>43.301952</v>
      </c>
      <c r="Q260" s="43">
        <v>43.354343</v>
      </c>
      <c r="R260" s="43">
        <v>43.349353999999998</v>
      </c>
      <c r="S260" s="43">
        <v>43.337448000000002</v>
      </c>
      <c r="T260" s="43">
        <v>43.329085999999997</v>
      </c>
      <c r="U260" s="43">
        <v>43.324885999999999</v>
      </c>
      <c r="V260" s="43">
        <v>43.321964000000001</v>
      </c>
      <c r="W260" s="43">
        <v>43.320774</v>
      </c>
      <c r="X260" s="43">
        <v>43.322636000000003</v>
      </c>
      <c r="Y260" s="43">
        <v>43.337532000000003</v>
      </c>
      <c r="Z260" s="43">
        <v>43.351455999999999</v>
      </c>
      <c r="AA260" s="43">
        <v>43.366847999999997</v>
      </c>
      <c r="AB260" s="43">
        <v>43.382339000000002</v>
      </c>
      <c r="AC260" s="43">
        <v>43.397399999999998</v>
      </c>
      <c r="AD260" s="43">
        <v>43.414360000000002</v>
      </c>
      <c r="AE260" s="43">
        <v>43.429062000000002</v>
      </c>
      <c r="AF260" s="43">
        <v>43.444653000000002</v>
      </c>
      <c r="AG260" s="43">
        <v>43.460625</v>
      </c>
      <c r="AH260" s="43">
        <v>43.470672999999998</v>
      </c>
      <c r="AI260" s="35">
        <v>1.684E-3</v>
      </c>
    </row>
    <row r="261" spans="1:35" ht="15" customHeight="1" x14ac:dyDescent="0.35">
      <c r="A261" s="29" t="s">
        <v>83</v>
      </c>
      <c r="B261" s="33" t="s">
        <v>33</v>
      </c>
      <c r="C261" s="43">
        <v>68.975982999999999</v>
      </c>
      <c r="D261" s="43">
        <v>69.229697999999999</v>
      </c>
      <c r="E261" s="43">
        <v>69.316406000000001</v>
      </c>
      <c r="F261" s="43">
        <v>69.294974999999994</v>
      </c>
      <c r="G261" s="43">
        <v>69.271416000000002</v>
      </c>
      <c r="H261" s="43">
        <v>69.384925999999993</v>
      </c>
      <c r="I261" s="43">
        <v>70.185958999999997</v>
      </c>
      <c r="J261" s="43">
        <v>70.120338000000004</v>
      </c>
      <c r="K261" s="43">
        <v>70.066826000000006</v>
      </c>
      <c r="L261" s="43">
        <v>70.032341000000002</v>
      </c>
      <c r="M261" s="43">
        <v>70.017150999999998</v>
      </c>
      <c r="N261" s="43">
        <v>70.018912999999998</v>
      </c>
      <c r="O261" s="43">
        <v>70.040397999999996</v>
      </c>
      <c r="P261" s="43">
        <v>70.075951000000003</v>
      </c>
      <c r="Q261" s="43">
        <v>70.120987</v>
      </c>
      <c r="R261" s="43">
        <v>70.110320999999999</v>
      </c>
      <c r="S261" s="43">
        <v>70.093497999999997</v>
      </c>
      <c r="T261" s="43">
        <v>70.081412999999998</v>
      </c>
      <c r="U261" s="43">
        <v>70.074211000000005</v>
      </c>
      <c r="V261" s="43">
        <v>70.068268000000003</v>
      </c>
      <c r="W261" s="43">
        <v>70.06456</v>
      </c>
      <c r="X261" s="43">
        <v>70.064705000000004</v>
      </c>
      <c r="Y261" s="43">
        <v>70.080985999999996</v>
      </c>
      <c r="Z261" s="43">
        <v>70.096221999999997</v>
      </c>
      <c r="AA261" s="43">
        <v>70.113204999999994</v>
      </c>
      <c r="AB261" s="43">
        <v>70.130332999999993</v>
      </c>
      <c r="AC261" s="43">
        <v>70.147025999999997</v>
      </c>
      <c r="AD261" s="43">
        <v>70.165976999999998</v>
      </c>
      <c r="AE261" s="43">
        <v>70.182274000000007</v>
      </c>
      <c r="AF261" s="43">
        <v>70.199637999999993</v>
      </c>
      <c r="AG261" s="43">
        <v>70.217461</v>
      </c>
      <c r="AH261" s="43">
        <v>70.229423999999995</v>
      </c>
      <c r="AI261" s="35">
        <v>5.8100000000000003E-4</v>
      </c>
    </row>
    <row r="262" spans="1:35" ht="15" customHeight="1" x14ac:dyDescent="0.35">
      <c r="A262" s="29" t="s">
        <v>702</v>
      </c>
      <c r="B262" s="33" t="s">
        <v>558</v>
      </c>
      <c r="C262" s="43">
        <v>36.193268000000003</v>
      </c>
      <c r="D262" s="43">
        <v>36.398539999999997</v>
      </c>
      <c r="E262" s="43">
        <v>36.544083000000001</v>
      </c>
      <c r="F262" s="43">
        <v>36.812435000000001</v>
      </c>
      <c r="G262" s="43">
        <v>36.910426999999999</v>
      </c>
      <c r="H262" s="43">
        <v>37.095633999999997</v>
      </c>
      <c r="I262" s="43">
        <v>37.81588</v>
      </c>
      <c r="J262" s="43">
        <v>37.780299999999997</v>
      </c>
      <c r="K262" s="43">
        <v>37.755302</v>
      </c>
      <c r="L262" s="43">
        <v>37.747540000000001</v>
      </c>
      <c r="M262" s="43">
        <v>37.756144999999997</v>
      </c>
      <c r="N262" s="43">
        <v>37.777312999999999</v>
      </c>
      <c r="O262" s="43">
        <v>37.818187999999999</v>
      </c>
      <c r="P262" s="43">
        <v>37.871059000000002</v>
      </c>
      <c r="Q262" s="43">
        <v>37.930644999999998</v>
      </c>
      <c r="R262" s="43">
        <v>37.933880000000002</v>
      </c>
      <c r="S262" s="43">
        <v>37.930698</v>
      </c>
      <c r="T262" s="43">
        <v>37.930667999999997</v>
      </c>
      <c r="U262" s="43">
        <v>37.935657999999997</v>
      </c>
      <c r="V262" s="43">
        <v>37.940635999999998</v>
      </c>
      <c r="W262" s="43">
        <v>37.947113000000002</v>
      </c>
      <c r="X262" s="43">
        <v>37.957867</v>
      </c>
      <c r="Y262" s="43">
        <v>37.980476000000003</v>
      </c>
      <c r="Z262" s="43">
        <v>38.001209000000003</v>
      </c>
      <c r="AA262" s="43">
        <v>38.024448</v>
      </c>
      <c r="AB262" s="43">
        <v>38.047752000000003</v>
      </c>
      <c r="AC262" s="43">
        <v>38.070098999999999</v>
      </c>
      <c r="AD262" s="43">
        <v>38.095466999999999</v>
      </c>
      <c r="AE262" s="43">
        <v>38.116652999999999</v>
      </c>
      <c r="AF262" s="43">
        <v>38.139133000000001</v>
      </c>
      <c r="AG262" s="43">
        <v>38.164130999999998</v>
      </c>
      <c r="AH262" s="43">
        <v>38.184578000000002</v>
      </c>
      <c r="AI262" s="35">
        <v>1.7290000000000001E-3</v>
      </c>
    </row>
    <row r="263" spans="1:35" ht="15" customHeight="1" x14ac:dyDescent="0.35">
      <c r="A263" s="29" t="s">
        <v>703</v>
      </c>
      <c r="B263" s="33" t="s">
        <v>559</v>
      </c>
      <c r="C263" s="43">
        <v>49.309593</v>
      </c>
      <c r="D263" s="43">
        <v>49.550873000000003</v>
      </c>
      <c r="E263" s="43">
        <v>49.810836999999999</v>
      </c>
      <c r="F263" s="43">
        <v>49.959183000000003</v>
      </c>
      <c r="G263" s="43">
        <v>50.02816</v>
      </c>
      <c r="H263" s="43">
        <v>50.074936000000001</v>
      </c>
      <c r="I263" s="43">
        <v>50.393509000000002</v>
      </c>
      <c r="J263" s="43">
        <v>50.405425999999999</v>
      </c>
      <c r="K263" s="43">
        <v>50.356437999999997</v>
      </c>
      <c r="L263" s="43">
        <v>50.327826999999999</v>
      </c>
      <c r="M263" s="43">
        <v>50.318840000000002</v>
      </c>
      <c r="N263" s="43">
        <v>50.325789999999998</v>
      </c>
      <c r="O263" s="43">
        <v>50.354965</v>
      </c>
      <c r="P263" s="43">
        <v>50.398384</v>
      </c>
      <c r="Q263" s="43">
        <v>50.450431999999999</v>
      </c>
      <c r="R263" s="43">
        <v>50.447066999999997</v>
      </c>
      <c r="S263" s="43">
        <v>50.437893000000003</v>
      </c>
      <c r="T263" s="43">
        <v>50.432479999999998</v>
      </c>
      <c r="U263" s="43">
        <v>50.432158999999999</v>
      </c>
      <c r="V263" s="43">
        <v>50.432205000000003</v>
      </c>
      <c r="W263" s="43">
        <v>50.434035999999999</v>
      </c>
      <c r="X263" s="43">
        <v>50.439689999999999</v>
      </c>
      <c r="Y263" s="43">
        <v>50.459781999999997</v>
      </c>
      <c r="Z263" s="43">
        <v>50.47813</v>
      </c>
      <c r="AA263" s="43">
        <v>50.498435999999998</v>
      </c>
      <c r="AB263" s="43">
        <v>50.518658000000002</v>
      </c>
      <c r="AC263" s="43">
        <v>50.538131999999997</v>
      </c>
      <c r="AD263" s="43">
        <v>50.560051000000001</v>
      </c>
      <c r="AE263" s="43">
        <v>50.578533</v>
      </c>
      <c r="AF263" s="43">
        <v>50.598095000000001</v>
      </c>
      <c r="AG263" s="43">
        <v>50.617924000000002</v>
      </c>
      <c r="AH263" s="43">
        <v>50.631748000000002</v>
      </c>
      <c r="AI263" s="35">
        <v>8.5400000000000005E-4</v>
      </c>
    </row>
    <row r="265" spans="1:35" ht="15" customHeight="1" x14ac:dyDescent="0.35">
      <c r="A265" s="25"/>
      <c r="B265" s="32" t="s">
        <v>82</v>
      </c>
      <c r="C265" s="25"/>
      <c r="D265" s="25"/>
      <c r="E265" s="25"/>
      <c r="F265" s="25"/>
      <c r="G265" s="25"/>
      <c r="H265" s="25"/>
      <c r="I265" s="25"/>
      <c r="J265" s="25"/>
      <c r="K265" s="25"/>
      <c r="L265" s="25"/>
      <c r="M265" s="25"/>
      <c r="N265" s="25"/>
      <c r="O265" s="25"/>
      <c r="P265" s="25"/>
      <c r="Q265" s="25"/>
      <c r="R265" s="25"/>
      <c r="S265" s="25"/>
      <c r="T265" s="25"/>
      <c r="U265" s="25"/>
      <c r="V265" s="25"/>
      <c r="W265" s="25"/>
      <c r="X265" s="25"/>
      <c r="Y265" s="25"/>
      <c r="Z265" s="25"/>
      <c r="AA265" s="25"/>
      <c r="AB265" s="25"/>
      <c r="AC265" s="25"/>
      <c r="AD265" s="25"/>
      <c r="AE265" s="25"/>
      <c r="AF265" s="25"/>
      <c r="AG265" s="25"/>
      <c r="AH265" s="25"/>
      <c r="AI265" s="25"/>
    </row>
    <row r="266" spans="1:35" ht="15" customHeight="1" x14ac:dyDescent="0.35">
      <c r="A266" s="29" t="s">
        <v>81</v>
      </c>
      <c r="B266" s="33" t="s">
        <v>55</v>
      </c>
      <c r="C266" s="43">
        <v>0</v>
      </c>
      <c r="D266" s="43">
        <v>0</v>
      </c>
      <c r="E266" s="43">
        <v>0</v>
      </c>
      <c r="F266" s="43">
        <v>0</v>
      </c>
      <c r="G266" s="43">
        <v>0</v>
      </c>
      <c r="H266" s="43">
        <v>0</v>
      </c>
      <c r="I266" s="43">
        <v>0</v>
      </c>
      <c r="J266" s="43">
        <v>0</v>
      </c>
      <c r="K266" s="43">
        <v>0</v>
      </c>
      <c r="L266" s="43">
        <v>0</v>
      </c>
      <c r="M266" s="43">
        <v>0</v>
      </c>
      <c r="N266" s="43">
        <v>0</v>
      </c>
      <c r="O266" s="43">
        <v>0</v>
      </c>
      <c r="P266" s="43">
        <v>0</v>
      </c>
      <c r="Q266" s="43">
        <v>0</v>
      </c>
      <c r="R266" s="43">
        <v>0</v>
      </c>
      <c r="S266" s="43">
        <v>0</v>
      </c>
      <c r="T266" s="43">
        <v>0</v>
      </c>
      <c r="U266" s="43">
        <v>0</v>
      </c>
      <c r="V266" s="43">
        <v>0</v>
      </c>
      <c r="W266" s="43">
        <v>0</v>
      </c>
      <c r="X266" s="43">
        <v>0</v>
      </c>
      <c r="Y266" s="43">
        <v>0</v>
      </c>
      <c r="Z266" s="43">
        <v>0</v>
      </c>
      <c r="AA266" s="43">
        <v>0</v>
      </c>
      <c r="AB266" s="43">
        <v>0</v>
      </c>
      <c r="AC266" s="43">
        <v>0</v>
      </c>
      <c r="AD266" s="43">
        <v>0</v>
      </c>
      <c r="AE266" s="43">
        <v>0</v>
      </c>
      <c r="AF266" s="43">
        <v>0</v>
      </c>
      <c r="AG266" s="43">
        <v>0</v>
      </c>
      <c r="AH266" s="43">
        <v>0</v>
      </c>
      <c r="AI266" s="35" t="s">
        <v>12</v>
      </c>
    </row>
    <row r="267" spans="1:35" ht="15" customHeight="1" x14ac:dyDescent="0.35">
      <c r="A267" s="29" t="s">
        <v>80</v>
      </c>
      <c r="B267" s="33" t="s">
        <v>53</v>
      </c>
      <c r="C267" s="43">
        <v>0</v>
      </c>
      <c r="D267" s="43">
        <v>0</v>
      </c>
      <c r="E267" s="43">
        <v>0</v>
      </c>
      <c r="F267" s="43">
        <v>0</v>
      </c>
      <c r="G267" s="43">
        <v>0</v>
      </c>
      <c r="H267" s="43">
        <v>0</v>
      </c>
      <c r="I267" s="43">
        <v>0</v>
      </c>
      <c r="J267" s="43">
        <v>0</v>
      </c>
      <c r="K267" s="43">
        <v>0</v>
      </c>
      <c r="L267" s="43">
        <v>0</v>
      </c>
      <c r="M267" s="43">
        <v>0</v>
      </c>
      <c r="N267" s="43">
        <v>0</v>
      </c>
      <c r="O267" s="43">
        <v>0</v>
      </c>
      <c r="P267" s="43">
        <v>0</v>
      </c>
      <c r="Q267" s="43">
        <v>0</v>
      </c>
      <c r="R267" s="43">
        <v>0</v>
      </c>
      <c r="S267" s="43">
        <v>0</v>
      </c>
      <c r="T267" s="43">
        <v>0</v>
      </c>
      <c r="U267" s="43">
        <v>0</v>
      </c>
      <c r="V267" s="43">
        <v>0</v>
      </c>
      <c r="W267" s="43">
        <v>0</v>
      </c>
      <c r="X267" s="43">
        <v>0</v>
      </c>
      <c r="Y267" s="43">
        <v>0</v>
      </c>
      <c r="Z267" s="43">
        <v>0</v>
      </c>
      <c r="AA267" s="43">
        <v>0</v>
      </c>
      <c r="AB267" s="43">
        <v>0</v>
      </c>
      <c r="AC267" s="43">
        <v>0</v>
      </c>
      <c r="AD267" s="43">
        <v>0</v>
      </c>
      <c r="AE267" s="43">
        <v>0</v>
      </c>
      <c r="AF267" s="43">
        <v>0</v>
      </c>
      <c r="AG267" s="43">
        <v>0</v>
      </c>
      <c r="AH267" s="43">
        <v>0</v>
      </c>
      <c r="AI267" s="35" t="s">
        <v>12</v>
      </c>
    </row>
    <row r="268" spans="1:35" ht="15" customHeight="1" x14ac:dyDescent="0.35">
      <c r="A268" s="29" t="s">
        <v>79</v>
      </c>
      <c r="B268" s="33" t="s">
        <v>51</v>
      </c>
      <c r="C268" s="43">
        <v>0</v>
      </c>
      <c r="D268" s="43">
        <v>0</v>
      </c>
      <c r="E268" s="43">
        <v>0</v>
      </c>
      <c r="F268" s="43">
        <v>0</v>
      </c>
      <c r="G268" s="43">
        <v>0</v>
      </c>
      <c r="H268" s="43">
        <v>0</v>
      </c>
      <c r="I268" s="43">
        <v>0</v>
      </c>
      <c r="J268" s="43">
        <v>0</v>
      </c>
      <c r="K268" s="43">
        <v>0</v>
      </c>
      <c r="L268" s="43">
        <v>0</v>
      </c>
      <c r="M268" s="43">
        <v>0</v>
      </c>
      <c r="N268" s="43">
        <v>0</v>
      </c>
      <c r="O268" s="43">
        <v>0</v>
      </c>
      <c r="P268" s="43">
        <v>0</v>
      </c>
      <c r="Q268" s="43">
        <v>0</v>
      </c>
      <c r="R268" s="43">
        <v>0</v>
      </c>
      <c r="S268" s="43">
        <v>0</v>
      </c>
      <c r="T268" s="43">
        <v>0</v>
      </c>
      <c r="U268" s="43">
        <v>0</v>
      </c>
      <c r="V268" s="43">
        <v>0</v>
      </c>
      <c r="W268" s="43">
        <v>0</v>
      </c>
      <c r="X268" s="43">
        <v>0</v>
      </c>
      <c r="Y268" s="43">
        <v>0</v>
      </c>
      <c r="Z268" s="43">
        <v>0</v>
      </c>
      <c r="AA268" s="43">
        <v>0</v>
      </c>
      <c r="AB268" s="43">
        <v>0</v>
      </c>
      <c r="AC268" s="43">
        <v>0</v>
      </c>
      <c r="AD268" s="43">
        <v>0</v>
      </c>
      <c r="AE268" s="43">
        <v>0</v>
      </c>
      <c r="AF268" s="43">
        <v>0</v>
      </c>
      <c r="AG268" s="43">
        <v>0</v>
      </c>
      <c r="AH268" s="43">
        <v>0</v>
      </c>
      <c r="AI268" s="35" t="s">
        <v>12</v>
      </c>
    </row>
    <row r="269" spans="1:35" ht="15" customHeight="1" x14ac:dyDescent="0.35">
      <c r="A269" s="29" t="s">
        <v>78</v>
      </c>
      <c r="B269" s="33" t="s">
        <v>49</v>
      </c>
      <c r="C269" s="43">
        <v>0</v>
      </c>
      <c r="D269" s="43">
        <v>0</v>
      </c>
      <c r="E269" s="43">
        <v>0</v>
      </c>
      <c r="F269" s="43">
        <v>0</v>
      </c>
      <c r="G269" s="43">
        <v>0</v>
      </c>
      <c r="H269" s="43">
        <v>0</v>
      </c>
      <c r="I269" s="43">
        <v>0</v>
      </c>
      <c r="J269" s="43">
        <v>0</v>
      </c>
      <c r="K269" s="43">
        <v>0</v>
      </c>
      <c r="L269" s="43">
        <v>0</v>
      </c>
      <c r="M269" s="43">
        <v>0</v>
      </c>
      <c r="N269" s="43">
        <v>0</v>
      </c>
      <c r="O269" s="43">
        <v>0</v>
      </c>
      <c r="P269" s="43">
        <v>0</v>
      </c>
      <c r="Q269" s="43">
        <v>0</v>
      </c>
      <c r="R269" s="43">
        <v>0</v>
      </c>
      <c r="S269" s="43">
        <v>0</v>
      </c>
      <c r="T269" s="43">
        <v>0</v>
      </c>
      <c r="U269" s="43">
        <v>0</v>
      </c>
      <c r="V269" s="43">
        <v>0</v>
      </c>
      <c r="W269" s="43">
        <v>0</v>
      </c>
      <c r="X269" s="43">
        <v>0</v>
      </c>
      <c r="Y269" s="43">
        <v>0</v>
      </c>
      <c r="Z269" s="43">
        <v>0</v>
      </c>
      <c r="AA269" s="43">
        <v>0</v>
      </c>
      <c r="AB269" s="43">
        <v>0</v>
      </c>
      <c r="AC269" s="43">
        <v>0</v>
      </c>
      <c r="AD269" s="43">
        <v>0</v>
      </c>
      <c r="AE269" s="43">
        <v>0</v>
      </c>
      <c r="AF269" s="43">
        <v>0</v>
      </c>
      <c r="AG269" s="43">
        <v>0</v>
      </c>
      <c r="AH269" s="43">
        <v>0</v>
      </c>
      <c r="AI269" s="35" t="s">
        <v>12</v>
      </c>
    </row>
    <row r="270" spans="1:35" ht="15" customHeight="1" x14ac:dyDescent="0.35">
      <c r="A270" s="29" t="s">
        <v>77</v>
      </c>
      <c r="B270" s="33" t="s">
        <v>47</v>
      </c>
      <c r="C270" s="43">
        <v>0</v>
      </c>
      <c r="D270" s="43">
        <v>0</v>
      </c>
      <c r="E270" s="43">
        <v>0</v>
      </c>
      <c r="F270" s="43">
        <v>0</v>
      </c>
      <c r="G270" s="43">
        <v>0</v>
      </c>
      <c r="H270" s="43">
        <v>0</v>
      </c>
      <c r="I270" s="43">
        <v>0</v>
      </c>
      <c r="J270" s="43">
        <v>0</v>
      </c>
      <c r="K270" s="43">
        <v>0</v>
      </c>
      <c r="L270" s="43">
        <v>0</v>
      </c>
      <c r="M270" s="43">
        <v>0</v>
      </c>
      <c r="N270" s="43">
        <v>0</v>
      </c>
      <c r="O270" s="43">
        <v>0</v>
      </c>
      <c r="P270" s="43">
        <v>0</v>
      </c>
      <c r="Q270" s="43">
        <v>0</v>
      </c>
      <c r="R270" s="43">
        <v>0</v>
      </c>
      <c r="S270" s="43">
        <v>0</v>
      </c>
      <c r="T270" s="43">
        <v>0</v>
      </c>
      <c r="U270" s="43">
        <v>0</v>
      </c>
      <c r="V270" s="43">
        <v>0</v>
      </c>
      <c r="W270" s="43">
        <v>0</v>
      </c>
      <c r="X270" s="43">
        <v>0</v>
      </c>
      <c r="Y270" s="43">
        <v>0</v>
      </c>
      <c r="Z270" s="43">
        <v>0</v>
      </c>
      <c r="AA270" s="43">
        <v>0</v>
      </c>
      <c r="AB270" s="43">
        <v>0</v>
      </c>
      <c r="AC270" s="43">
        <v>0</v>
      </c>
      <c r="AD270" s="43">
        <v>0</v>
      </c>
      <c r="AE270" s="43">
        <v>0</v>
      </c>
      <c r="AF270" s="43">
        <v>0</v>
      </c>
      <c r="AG270" s="43">
        <v>0</v>
      </c>
      <c r="AH270" s="43">
        <v>0</v>
      </c>
      <c r="AI270" s="35" t="s">
        <v>12</v>
      </c>
    </row>
    <row r="271" spans="1:35" ht="15" customHeight="1" x14ac:dyDescent="0.35">
      <c r="A271" s="29" t="s">
        <v>76</v>
      </c>
      <c r="B271" s="33" t="s">
        <v>45</v>
      </c>
      <c r="C271" s="43">
        <v>0</v>
      </c>
      <c r="D271" s="43">
        <v>0</v>
      </c>
      <c r="E271" s="43">
        <v>0</v>
      </c>
      <c r="F271" s="43">
        <v>0</v>
      </c>
      <c r="G271" s="43">
        <v>0</v>
      </c>
      <c r="H271" s="43">
        <v>0</v>
      </c>
      <c r="I271" s="43">
        <v>0</v>
      </c>
      <c r="J271" s="43">
        <v>0</v>
      </c>
      <c r="K271" s="43">
        <v>0</v>
      </c>
      <c r="L271" s="43">
        <v>0</v>
      </c>
      <c r="M271" s="43">
        <v>0</v>
      </c>
      <c r="N271" s="43">
        <v>0</v>
      </c>
      <c r="O271" s="43">
        <v>0</v>
      </c>
      <c r="P271" s="43">
        <v>0</v>
      </c>
      <c r="Q271" s="43">
        <v>0</v>
      </c>
      <c r="R271" s="43">
        <v>0</v>
      </c>
      <c r="S271" s="43">
        <v>0</v>
      </c>
      <c r="T271" s="43">
        <v>0</v>
      </c>
      <c r="U271" s="43">
        <v>0</v>
      </c>
      <c r="V271" s="43">
        <v>0</v>
      </c>
      <c r="W271" s="43">
        <v>0</v>
      </c>
      <c r="X271" s="43">
        <v>0</v>
      </c>
      <c r="Y271" s="43">
        <v>0</v>
      </c>
      <c r="Z271" s="43">
        <v>0</v>
      </c>
      <c r="AA271" s="43">
        <v>0</v>
      </c>
      <c r="AB271" s="43">
        <v>0</v>
      </c>
      <c r="AC271" s="43">
        <v>0</v>
      </c>
      <c r="AD271" s="43">
        <v>0</v>
      </c>
      <c r="AE271" s="43">
        <v>0</v>
      </c>
      <c r="AF271" s="43">
        <v>0</v>
      </c>
      <c r="AG271" s="43">
        <v>0</v>
      </c>
      <c r="AH271" s="43">
        <v>0</v>
      </c>
      <c r="AI271" s="35" t="s">
        <v>12</v>
      </c>
    </row>
    <row r="272" spans="1:35" ht="15" customHeight="1" x14ac:dyDescent="0.35">
      <c r="A272" s="29" t="s">
        <v>704</v>
      </c>
      <c r="B272" s="33" t="s">
        <v>556</v>
      </c>
      <c r="C272" s="43">
        <v>0</v>
      </c>
      <c r="D272" s="43">
        <v>0</v>
      </c>
      <c r="E272" s="43">
        <v>0</v>
      </c>
      <c r="F272" s="43">
        <v>0</v>
      </c>
      <c r="G272" s="43">
        <v>0</v>
      </c>
      <c r="H272" s="43">
        <v>0</v>
      </c>
      <c r="I272" s="43">
        <v>0</v>
      </c>
      <c r="J272" s="43">
        <v>0</v>
      </c>
      <c r="K272" s="43">
        <v>0</v>
      </c>
      <c r="L272" s="43">
        <v>0</v>
      </c>
      <c r="M272" s="43">
        <v>0</v>
      </c>
      <c r="N272" s="43">
        <v>0</v>
      </c>
      <c r="O272" s="43">
        <v>0</v>
      </c>
      <c r="P272" s="43">
        <v>0</v>
      </c>
      <c r="Q272" s="43">
        <v>0</v>
      </c>
      <c r="R272" s="43">
        <v>0</v>
      </c>
      <c r="S272" s="43">
        <v>0</v>
      </c>
      <c r="T272" s="43">
        <v>0</v>
      </c>
      <c r="U272" s="43">
        <v>0</v>
      </c>
      <c r="V272" s="43">
        <v>0</v>
      </c>
      <c r="W272" s="43">
        <v>0</v>
      </c>
      <c r="X272" s="43">
        <v>0</v>
      </c>
      <c r="Y272" s="43">
        <v>0</v>
      </c>
      <c r="Z272" s="43">
        <v>0</v>
      </c>
      <c r="AA272" s="43">
        <v>0</v>
      </c>
      <c r="AB272" s="43">
        <v>0</v>
      </c>
      <c r="AC272" s="43">
        <v>0</v>
      </c>
      <c r="AD272" s="43">
        <v>0</v>
      </c>
      <c r="AE272" s="43">
        <v>0</v>
      </c>
      <c r="AF272" s="43">
        <v>0</v>
      </c>
      <c r="AG272" s="43">
        <v>0</v>
      </c>
      <c r="AH272" s="43">
        <v>0</v>
      </c>
      <c r="AI272" s="35" t="s">
        <v>12</v>
      </c>
    </row>
    <row r="273" spans="1:35" ht="15" customHeight="1" x14ac:dyDescent="0.35">
      <c r="A273" s="29" t="s">
        <v>705</v>
      </c>
      <c r="B273" s="33" t="s">
        <v>557</v>
      </c>
      <c r="C273" s="43">
        <v>0</v>
      </c>
      <c r="D273" s="43">
        <v>0</v>
      </c>
      <c r="E273" s="43">
        <v>0</v>
      </c>
      <c r="F273" s="43">
        <v>0</v>
      </c>
      <c r="G273" s="43">
        <v>0</v>
      </c>
      <c r="H273" s="43">
        <v>0</v>
      </c>
      <c r="I273" s="43">
        <v>0</v>
      </c>
      <c r="J273" s="43">
        <v>0</v>
      </c>
      <c r="K273" s="43">
        <v>0</v>
      </c>
      <c r="L273" s="43">
        <v>0</v>
      </c>
      <c r="M273" s="43">
        <v>0</v>
      </c>
      <c r="N273" s="43">
        <v>0</v>
      </c>
      <c r="O273" s="43">
        <v>0</v>
      </c>
      <c r="P273" s="43">
        <v>0</v>
      </c>
      <c r="Q273" s="43">
        <v>0</v>
      </c>
      <c r="R273" s="43">
        <v>0</v>
      </c>
      <c r="S273" s="43">
        <v>0</v>
      </c>
      <c r="T273" s="43">
        <v>0</v>
      </c>
      <c r="U273" s="43">
        <v>0</v>
      </c>
      <c r="V273" s="43">
        <v>0</v>
      </c>
      <c r="W273" s="43">
        <v>0</v>
      </c>
      <c r="X273" s="43">
        <v>0</v>
      </c>
      <c r="Y273" s="43">
        <v>0</v>
      </c>
      <c r="Z273" s="43">
        <v>0</v>
      </c>
      <c r="AA273" s="43">
        <v>0</v>
      </c>
      <c r="AB273" s="43">
        <v>0</v>
      </c>
      <c r="AC273" s="43">
        <v>0</v>
      </c>
      <c r="AD273" s="43">
        <v>0</v>
      </c>
      <c r="AE273" s="43">
        <v>0</v>
      </c>
      <c r="AF273" s="43">
        <v>0</v>
      </c>
      <c r="AG273" s="43">
        <v>0</v>
      </c>
      <c r="AH273" s="43">
        <v>0</v>
      </c>
      <c r="AI273" s="35" t="s">
        <v>12</v>
      </c>
    </row>
    <row r="274" spans="1:35" ht="15" customHeight="1" x14ac:dyDescent="0.35">
      <c r="A274" s="29" t="s">
        <v>75</v>
      </c>
      <c r="B274" s="33" t="s">
        <v>43</v>
      </c>
      <c r="C274" s="43">
        <v>0</v>
      </c>
      <c r="D274" s="43">
        <v>0</v>
      </c>
      <c r="E274" s="43">
        <v>0</v>
      </c>
      <c r="F274" s="43">
        <v>0</v>
      </c>
      <c r="G274" s="43">
        <v>0</v>
      </c>
      <c r="H274" s="43">
        <v>0</v>
      </c>
      <c r="I274" s="43">
        <v>0</v>
      </c>
      <c r="J274" s="43">
        <v>0</v>
      </c>
      <c r="K274" s="43">
        <v>0</v>
      </c>
      <c r="L274" s="43">
        <v>0</v>
      </c>
      <c r="M274" s="43">
        <v>0</v>
      </c>
      <c r="N274" s="43">
        <v>0</v>
      </c>
      <c r="O274" s="43">
        <v>0</v>
      </c>
      <c r="P274" s="43">
        <v>0</v>
      </c>
      <c r="Q274" s="43">
        <v>0</v>
      </c>
      <c r="R274" s="43">
        <v>0</v>
      </c>
      <c r="S274" s="43">
        <v>0</v>
      </c>
      <c r="T274" s="43">
        <v>0</v>
      </c>
      <c r="U274" s="43">
        <v>0</v>
      </c>
      <c r="V274" s="43">
        <v>0</v>
      </c>
      <c r="W274" s="43">
        <v>0</v>
      </c>
      <c r="X274" s="43">
        <v>0</v>
      </c>
      <c r="Y274" s="43">
        <v>0</v>
      </c>
      <c r="Z274" s="43">
        <v>0</v>
      </c>
      <c r="AA274" s="43">
        <v>0</v>
      </c>
      <c r="AB274" s="43">
        <v>0</v>
      </c>
      <c r="AC274" s="43">
        <v>0</v>
      </c>
      <c r="AD274" s="43">
        <v>0</v>
      </c>
      <c r="AE274" s="43">
        <v>0</v>
      </c>
      <c r="AF274" s="43">
        <v>0</v>
      </c>
      <c r="AG274" s="43">
        <v>0</v>
      </c>
      <c r="AH274" s="43">
        <v>0</v>
      </c>
      <c r="AI274" s="35" t="s">
        <v>12</v>
      </c>
    </row>
    <row r="275" spans="1:35" ht="15" customHeight="1" x14ac:dyDescent="0.35">
      <c r="A275" s="29" t="s">
        <v>74</v>
      </c>
      <c r="B275" s="33" t="s">
        <v>41</v>
      </c>
      <c r="C275" s="43">
        <v>0</v>
      </c>
      <c r="D275" s="43">
        <v>0</v>
      </c>
      <c r="E275" s="43">
        <v>0</v>
      </c>
      <c r="F275" s="43">
        <v>0</v>
      </c>
      <c r="G275" s="43">
        <v>0</v>
      </c>
      <c r="H275" s="43">
        <v>0</v>
      </c>
      <c r="I275" s="43">
        <v>0</v>
      </c>
      <c r="J275" s="43">
        <v>0</v>
      </c>
      <c r="K275" s="43">
        <v>0</v>
      </c>
      <c r="L275" s="43">
        <v>0</v>
      </c>
      <c r="M275" s="43">
        <v>0</v>
      </c>
      <c r="N275" s="43">
        <v>0</v>
      </c>
      <c r="O275" s="43">
        <v>0</v>
      </c>
      <c r="P275" s="43">
        <v>0</v>
      </c>
      <c r="Q275" s="43">
        <v>0</v>
      </c>
      <c r="R275" s="43">
        <v>0</v>
      </c>
      <c r="S275" s="43">
        <v>0</v>
      </c>
      <c r="T275" s="43">
        <v>0</v>
      </c>
      <c r="U275" s="43">
        <v>0</v>
      </c>
      <c r="V275" s="43">
        <v>0</v>
      </c>
      <c r="W275" s="43">
        <v>0</v>
      </c>
      <c r="X275" s="43">
        <v>0</v>
      </c>
      <c r="Y275" s="43">
        <v>0</v>
      </c>
      <c r="Z275" s="43">
        <v>0</v>
      </c>
      <c r="AA275" s="43">
        <v>0</v>
      </c>
      <c r="AB275" s="43">
        <v>0</v>
      </c>
      <c r="AC275" s="43">
        <v>0</v>
      </c>
      <c r="AD275" s="43">
        <v>0</v>
      </c>
      <c r="AE275" s="43">
        <v>0</v>
      </c>
      <c r="AF275" s="43">
        <v>0</v>
      </c>
      <c r="AG275" s="43">
        <v>0</v>
      </c>
      <c r="AH275" s="43">
        <v>0</v>
      </c>
      <c r="AI275" s="35" t="s">
        <v>12</v>
      </c>
    </row>
    <row r="276" spans="1:35" ht="15" customHeight="1" x14ac:dyDescent="0.35">
      <c r="A276" s="29" t="s">
        <v>73</v>
      </c>
      <c r="B276" s="33" t="s">
        <v>39</v>
      </c>
      <c r="C276" s="43">
        <v>0</v>
      </c>
      <c r="D276" s="43">
        <v>0</v>
      </c>
      <c r="E276" s="43">
        <v>0</v>
      </c>
      <c r="F276" s="43">
        <v>0</v>
      </c>
      <c r="G276" s="43">
        <v>0</v>
      </c>
      <c r="H276" s="43">
        <v>0</v>
      </c>
      <c r="I276" s="43">
        <v>0</v>
      </c>
      <c r="J276" s="43">
        <v>0</v>
      </c>
      <c r="K276" s="43">
        <v>0</v>
      </c>
      <c r="L276" s="43">
        <v>0</v>
      </c>
      <c r="M276" s="43">
        <v>0</v>
      </c>
      <c r="N276" s="43">
        <v>0</v>
      </c>
      <c r="O276" s="43">
        <v>0</v>
      </c>
      <c r="P276" s="43">
        <v>0</v>
      </c>
      <c r="Q276" s="43">
        <v>0</v>
      </c>
      <c r="R276" s="43">
        <v>0</v>
      </c>
      <c r="S276" s="43">
        <v>0</v>
      </c>
      <c r="T276" s="43">
        <v>0</v>
      </c>
      <c r="U276" s="43">
        <v>0</v>
      </c>
      <c r="V276" s="43">
        <v>0</v>
      </c>
      <c r="W276" s="43">
        <v>0</v>
      </c>
      <c r="X276" s="43">
        <v>0</v>
      </c>
      <c r="Y276" s="43">
        <v>0</v>
      </c>
      <c r="Z276" s="43">
        <v>0</v>
      </c>
      <c r="AA276" s="43">
        <v>0</v>
      </c>
      <c r="AB276" s="43">
        <v>0</v>
      </c>
      <c r="AC276" s="43">
        <v>0</v>
      </c>
      <c r="AD276" s="43">
        <v>0</v>
      </c>
      <c r="AE276" s="43">
        <v>0</v>
      </c>
      <c r="AF276" s="43">
        <v>0</v>
      </c>
      <c r="AG276" s="43">
        <v>0</v>
      </c>
      <c r="AH276" s="43">
        <v>0</v>
      </c>
      <c r="AI276" s="35" t="s">
        <v>12</v>
      </c>
    </row>
    <row r="277" spans="1:35" ht="15" customHeight="1" x14ac:dyDescent="0.35">
      <c r="A277" s="29" t="s">
        <v>72</v>
      </c>
      <c r="B277" s="33" t="s">
        <v>37</v>
      </c>
      <c r="C277" s="43">
        <v>0</v>
      </c>
      <c r="D277" s="43">
        <v>0</v>
      </c>
      <c r="E277" s="43">
        <v>0</v>
      </c>
      <c r="F277" s="43">
        <v>0</v>
      </c>
      <c r="G277" s="43">
        <v>0</v>
      </c>
      <c r="H277" s="43">
        <v>0</v>
      </c>
      <c r="I277" s="43">
        <v>0</v>
      </c>
      <c r="J277" s="43">
        <v>0</v>
      </c>
      <c r="K277" s="43">
        <v>0</v>
      </c>
      <c r="L277" s="43">
        <v>0</v>
      </c>
      <c r="M277" s="43">
        <v>0</v>
      </c>
      <c r="N277" s="43">
        <v>0</v>
      </c>
      <c r="O277" s="43">
        <v>0</v>
      </c>
      <c r="P277" s="43">
        <v>0</v>
      </c>
      <c r="Q277" s="43">
        <v>0</v>
      </c>
      <c r="R277" s="43">
        <v>0</v>
      </c>
      <c r="S277" s="43">
        <v>0</v>
      </c>
      <c r="T277" s="43">
        <v>0</v>
      </c>
      <c r="U277" s="43">
        <v>0</v>
      </c>
      <c r="V277" s="43">
        <v>0</v>
      </c>
      <c r="W277" s="43">
        <v>0</v>
      </c>
      <c r="X277" s="43">
        <v>0</v>
      </c>
      <c r="Y277" s="43">
        <v>0</v>
      </c>
      <c r="Z277" s="43">
        <v>0</v>
      </c>
      <c r="AA277" s="43">
        <v>0</v>
      </c>
      <c r="AB277" s="43">
        <v>0</v>
      </c>
      <c r="AC277" s="43">
        <v>0</v>
      </c>
      <c r="AD277" s="43">
        <v>0</v>
      </c>
      <c r="AE277" s="43">
        <v>0</v>
      </c>
      <c r="AF277" s="43">
        <v>0</v>
      </c>
      <c r="AG277" s="43">
        <v>0</v>
      </c>
      <c r="AH277" s="43">
        <v>0</v>
      </c>
      <c r="AI277" s="35" t="s">
        <v>12</v>
      </c>
    </row>
    <row r="278" spans="1:35" ht="15" customHeight="1" x14ac:dyDescent="0.35">
      <c r="A278" s="29" t="s">
        <v>71</v>
      </c>
      <c r="B278" s="33" t="s">
        <v>35</v>
      </c>
      <c r="C278" s="43">
        <v>0</v>
      </c>
      <c r="D278" s="43">
        <v>0</v>
      </c>
      <c r="E278" s="43">
        <v>0</v>
      </c>
      <c r="F278" s="43">
        <v>0</v>
      </c>
      <c r="G278" s="43">
        <v>0</v>
      </c>
      <c r="H278" s="43">
        <v>0</v>
      </c>
      <c r="I278" s="43">
        <v>0</v>
      </c>
      <c r="J278" s="43">
        <v>0</v>
      </c>
      <c r="K278" s="43">
        <v>0</v>
      </c>
      <c r="L278" s="43">
        <v>0</v>
      </c>
      <c r="M278" s="43">
        <v>0</v>
      </c>
      <c r="N278" s="43">
        <v>0</v>
      </c>
      <c r="O278" s="43">
        <v>0</v>
      </c>
      <c r="P278" s="43">
        <v>0</v>
      </c>
      <c r="Q278" s="43">
        <v>0</v>
      </c>
      <c r="R278" s="43">
        <v>0</v>
      </c>
      <c r="S278" s="43">
        <v>0</v>
      </c>
      <c r="T278" s="43">
        <v>0</v>
      </c>
      <c r="U278" s="43">
        <v>0</v>
      </c>
      <c r="V278" s="43">
        <v>0</v>
      </c>
      <c r="W278" s="43">
        <v>0</v>
      </c>
      <c r="X278" s="43">
        <v>0</v>
      </c>
      <c r="Y278" s="43">
        <v>0</v>
      </c>
      <c r="Z278" s="43">
        <v>0</v>
      </c>
      <c r="AA278" s="43">
        <v>0</v>
      </c>
      <c r="AB278" s="43">
        <v>0</v>
      </c>
      <c r="AC278" s="43">
        <v>0</v>
      </c>
      <c r="AD278" s="43">
        <v>0</v>
      </c>
      <c r="AE278" s="43">
        <v>0</v>
      </c>
      <c r="AF278" s="43">
        <v>0</v>
      </c>
      <c r="AG278" s="43">
        <v>0</v>
      </c>
      <c r="AH278" s="43">
        <v>0</v>
      </c>
      <c r="AI278" s="35" t="s">
        <v>12</v>
      </c>
    </row>
    <row r="279" spans="1:35" ht="15" customHeight="1" x14ac:dyDescent="0.35">
      <c r="A279" s="29" t="s">
        <v>70</v>
      </c>
      <c r="B279" s="33" t="s">
        <v>33</v>
      </c>
      <c r="C279" s="43">
        <v>0</v>
      </c>
      <c r="D279" s="43">
        <v>0</v>
      </c>
      <c r="E279" s="43">
        <v>0</v>
      </c>
      <c r="F279" s="43">
        <v>0</v>
      </c>
      <c r="G279" s="43">
        <v>0</v>
      </c>
      <c r="H279" s="43">
        <v>0</v>
      </c>
      <c r="I279" s="43">
        <v>0</v>
      </c>
      <c r="J279" s="43">
        <v>0</v>
      </c>
      <c r="K279" s="43">
        <v>0</v>
      </c>
      <c r="L279" s="43">
        <v>0</v>
      </c>
      <c r="M279" s="43">
        <v>0</v>
      </c>
      <c r="N279" s="43">
        <v>0</v>
      </c>
      <c r="O279" s="43">
        <v>0</v>
      </c>
      <c r="P279" s="43">
        <v>0</v>
      </c>
      <c r="Q279" s="43">
        <v>0</v>
      </c>
      <c r="R279" s="43">
        <v>0</v>
      </c>
      <c r="S279" s="43">
        <v>0</v>
      </c>
      <c r="T279" s="43">
        <v>0</v>
      </c>
      <c r="U279" s="43">
        <v>0</v>
      </c>
      <c r="V279" s="43">
        <v>0</v>
      </c>
      <c r="W279" s="43">
        <v>0</v>
      </c>
      <c r="X279" s="43">
        <v>0</v>
      </c>
      <c r="Y279" s="43">
        <v>0</v>
      </c>
      <c r="Z279" s="43">
        <v>0</v>
      </c>
      <c r="AA279" s="43">
        <v>0</v>
      </c>
      <c r="AB279" s="43">
        <v>0</v>
      </c>
      <c r="AC279" s="43">
        <v>0</v>
      </c>
      <c r="AD279" s="43">
        <v>0</v>
      </c>
      <c r="AE279" s="43">
        <v>0</v>
      </c>
      <c r="AF279" s="43">
        <v>0</v>
      </c>
      <c r="AG279" s="43">
        <v>0</v>
      </c>
      <c r="AH279" s="43">
        <v>0</v>
      </c>
      <c r="AI279" s="35" t="s">
        <v>12</v>
      </c>
    </row>
    <row r="280" spans="1:35" ht="15" customHeight="1" x14ac:dyDescent="0.35">
      <c r="A280" s="29" t="s">
        <v>706</v>
      </c>
      <c r="B280" s="33" t="s">
        <v>558</v>
      </c>
      <c r="C280" s="43">
        <v>0</v>
      </c>
      <c r="D280" s="43">
        <v>0</v>
      </c>
      <c r="E280" s="43">
        <v>0</v>
      </c>
      <c r="F280" s="43">
        <v>0</v>
      </c>
      <c r="G280" s="43">
        <v>0</v>
      </c>
      <c r="H280" s="43">
        <v>0</v>
      </c>
      <c r="I280" s="43">
        <v>0</v>
      </c>
      <c r="J280" s="43">
        <v>0</v>
      </c>
      <c r="K280" s="43">
        <v>0</v>
      </c>
      <c r="L280" s="43">
        <v>0</v>
      </c>
      <c r="M280" s="43">
        <v>0</v>
      </c>
      <c r="N280" s="43">
        <v>0</v>
      </c>
      <c r="O280" s="43">
        <v>0</v>
      </c>
      <c r="P280" s="43">
        <v>0</v>
      </c>
      <c r="Q280" s="43">
        <v>0</v>
      </c>
      <c r="R280" s="43">
        <v>0</v>
      </c>
      <c r="S280" s="43">
        <v>0</v>
      </c>
      <c r="T280" s="43">
        <v>0</v>
      </c>
      <c r="U280" s="43">
        <v>0</v>
      </c>
      <c r="V280" s="43">
        <v>0</v>
      </c>
      <c r="W280" s="43">
        <v>0</v>
      </c>
      <c r="X280" s="43">
        <v>0</v>
      </c>
      <c r="Y280" s="43">
        <v>0</v>
      </c>
      <c r="Z280" s="43">
        <v>0</v>
      </c>
      <c r="AA280" s="43">
        <v>0</v>
      </c>
      <c r="AB280" s="43">
        <v>0</v>
      </c>
      <c r="AC280" s="43">
        <v>0</v>
      </c>
      <c r="AD280" s="43">
        <v>0</v>
      </c>
      <c r="AE280" s="43">
        <v>0</v>
      </c>
      <c r="AF280" s="43">
        <v>0</v>
      </c>
      <c r="AG280" s="43">
        <v>0</v>
      </c>
      <c r="AH280" s="43">
        <v>0</v>
      </c>
      <c r="AI280" s="35" t="s">
        <v>12</v>
      </c>
    </row>
    <row r="281" spans="1:35" ht="15" customHeight="1" x14ac:dyDescent="0.35">
      <c r="A281" s="29" t="s">
        <v>707</v>
      </c>
      <c r="B281" s="33" t="s">
        <v>559</v>
      </c>
      <c r="C281" s="43">
        <v>0</v>
      </c>
      <c r="D281" s="43">
        <v>0</v>
      </c>
      <c r="E281" s="43">
        <v>0</v>
      </c>
      <c r="F281" s="43">
        <v>0</v>
      </c>
      <c r="G281" s="43">
        <v>0</v>
      </c>
      <c r="H281" s="43">
        <v>0</v>
      </c>
      <c r="I281" s="43">
        <v>0</v>
      </c>
      <c r="J281" s="43">
        <v>0</v>
      </c>
      <c r="K281" s="43">
        <v>0</v>
      </c>
      <c r="L281" s="43">
        <v>0</v>
      </c>
      <c r="M281" s="43">
        <v>0</v>
      </c>
      <c r="N281" s="43">
        <v>0</v>
      </c>
      <c r="O281" s="43">
        <v>0</v>
      </c>
      <c r="P281" s="43">
        <v>0</v>
      </c>
      <c r="Q281" s="43">
        <v>0</v>
      </c>
      <c r="R281" s="43">
        <v>0</v>
      </c>
      <c r="S281" s="43">
        <v>0</v>
      </c>
      <c r="T281" s="43">
        <v>0</v>
      </c>
      <c r="U281" s="43">
        <v>0</v>
      </c>
      <c r="V281" s="43">
        <v>0</v>
      </c>
      <c r="W281" s="43">
        <v>0</v>
      </c>
      <c r="X281" s="43">
        <v>0</v>
      </c>
      <c r="Y281" s="43">
        <v>0</v>
      </c>
      <c r="Z281" s="43">
        <v>0</v>
      </c>
      <c r="AA281" s="43">
        <v>0</v>
      </c>
      <c r="AB281" s="43">
        <v>0</v>
      </c>
      <c r="AC281" s="43">
        <v>0</v>
      </c>
      <c r="AD281" s="43">
        <v>0</v>
      </c>
      <c r="AE281" s="43">
        <v>0</v>
      </c>
      <c r="AF281" s="43">
        <v>0</v>
      </c>
      <c r="AG281" s="43">
        <v>0</v>
      </c>
      <c r="AH281" s="43">
        <v>0</v>
      </c>
      <c r="AI281" s="35" t="s">
        <v>12</v>
      </c>
    </row>
    <row r="283" spans="1:35" ht="15" customHeight="1" x14ac:dyDescent="0.35">
      <c r="A283" s="25"/>
      <c r="B283" s="32" t="s">
        <v>69</v>
      </c>
      <c r="C283" s="25"/>
      <c r="D283" s="25"/>
      <c r="E283" s="25"/>
      <c r="F283" s="25"/>
      <c r="G283" s="25"/>
      <c r="H283" s="25"/>
      <c r="I283" s="25"/>
      <c r="J283" s="25"/>
      <c r="K283" s="25"/>
      <c r="L283" s="25"/>
      <c r="M283" s="25"/>
      <c r="N283" s="25"/>
      <c r="O283" s="25"/>
      <c r="P283" s="25"/>
      <c r="Q283" s="25"/>
      <c r="R283" s="25"/>
      <c r="S283" s="25"/>
      <c r="T283" s="25"/>
      <c r="U283" s="25"/>
      <c r="V283" s="25"/>
      <c r="W283" s="25"/>
      <c r="X283" s="25"/>
      <c r="Y283" s="25"/>
      <c r="Z283" s="25"/>
      <c r="AA283" s="25"/>
      <c r="AB283" s="25"/>
      <c r="AC283" s="25"/>
      <c r="AD283" s="25"/>
      <c r="AE283" s="25"/>
      <c r="AF283" s="25"/>
      <c r="AG283" s="25"/>
      <c r="AH283" s="25"/>
      <c r="AI283" s="25"/>
    </row>
    <row r="284" spans="1:35" ht="15" customHeight="1" x14ac:dyDescent="0.35">
      <c r="A284" s="29" t="s">
        <v>68</v>
      </c>
      <c r="B284" s="33" t="s">
        <v>55</v>
      </c>
      <c r="C284" s="43">
        <v>0</v>
      </c>
      <c r="D284" s="43">
        <v>0</v>
      </c>
      <c r="E284" s="43">
        <v>0</v>
      </c>
      <c r="F284" s="43">
        <v>0</v>
      </c>
      <c r="G284" s="43">
        <v>0</v>
      </c>
      <c r="H284" s="43">
        <v>0</v>
      </c>
      <c r="I284" s="43">
        <v>0</v>
      </c>
      <c r="J284" s="43">
        <v>0</v>
      </c>
      <c r="K284" s="43">
        <v>0</v>
      </c>
      <c r="L284" s="43">
        <v>0</v>
      </c>
      <c r="M284" s="43">
        <v>0</v>
      </c>
      <c r="N284" s="43">
        <v>0</v>
      </c>
      <c r="O284" s="43">
        <v>0</v>
      </c>
      <c r="P284" s="43">
        <v>0</v>
      </c>
      <c r="Q284" s="43">
        <v>0</v>
      </c>
      <c r="R284" s="43">
        <v>0</v>
      </c>
      <c r="S284" s="43">
        <v>0</v>
      </c>
      <c r="T284" s="43">
        <v>0</v>
      </c>
      <c r="U284" s="43">
        <v>0</v>
      </c>
      <c r="V284" s="43">
        <v>0</v>
      </c>
      <c r="W284" s="43">
        <v>0</v>
      </c>
      <c r="X284" s="43">
        <v>0</v>
      </c>
      <c r="Y284" s="43">
        <v>0</v>
      </c>
      <c r="Z284" s="43">
        <v>0</v>
      </c>
      <c r="AA284" s="43">
        <v>0</v>
      </c>
      <c r="AB284" s="43">
        <v>0</v>
      </c>
      <c r="AC284" s="43">
        <v>0</v>
      </c>
      <c r="AD284" s="43">
        <v>0</v>
      </c>
      <c r="AE284" s="43">
        <v>0</v>
      </c>
      <c r="AF284" s="43">
        <v>0</v>
      </c>
      <c r="AG284" s="43">
        <v>0</v>
      </c>
      <c r="AH284" s="43">
        <v>0</v>
      </c>
      <c r="AI284" s="35" t="s">
        <v>12</v>
      </c>
    </row>
    <row r="285" spans="1:35" ht="15" customHeight="1" x14ac:dyDescent="0.35">
      <c r="A285" s="29" t="s">
        <v>67</v>
      </c>
      <c r="B285" s="33" t="s">
        <v>53</v>
      </c>
      <c r="C285" s="43">
        <v>88.290947000000003</v>
      </c>
      <c r="D285" s="43">
        <v>86.258285999999998</v>
      </c>
      <c r="E285" s="43">
        <v>83.935883000000004</v>
      </c>
      <c r="F285" s="43">
        <v>81.452483999999998</v>
      </c>
      <c r="G285" s="43">
        <v>79.527373999999995</v>
      </c>
      <c r="H285" s="43">
        <v>77.926940999999999</v>
      </c>
      <c r="I285" s="43">
        <v>76.285690000000002</v>
      </c>
      <c r="J285" s="43">
        <v>75.229263000000003</v>
      </c>
      <c r="K285" s="43">
        <v>74.230620999999999</v>
      </c>
      <c r="L285" s="43">
        <v>73.280951999999999</v>
      </c>
      <c r="M285" s="43">
        <v>72.377685999999997</v>
      </c>
      <c r="N285" s="43">
        <v>71.518730000000005</v>
      </c>
      <c r="O285" s="43">
        <v>70.702567999999999</v>
      </c>
      <c r="P285" s="43">
        <v>69.927689000000001</v>
      </c>
      <c r="Q285" s="43">
        <v>69.191422000000003</v>
      </c>
      <c r="R285" s="43">
        <v>68.425110000000004</v>
      </c>
      <c r="S285" s="43">
        <v>67.681022999999996</v>
      </c>
      <c r="T285" s="43">
        <v>66.971007999999998</v>
      </c>
      <c r="U285" s="43">
        <v>66.293593999999999</v>
      </c>
      <c r="V285" s="43">
        <v>65.647423000000003</v>
      </c>
      <c r="W285" s="43">
        <v>65.030959999999993</v>
      </c>
      <c r="X285" s="43">
        <v>64.442986000000005</v>
      </c>
      <c r="Y285" s="43">
        <v>63.884357000000001</v>
      </c>
      <c r="Z285" s="43">
        <v>63.351134999999999</v>
      </c>
      <c r="AA285" s="43">
        <v>62.842182000000001</v>
      </c>
      <c r="AB285" s="43">
        <v>62.356388000000003</v>
      </c>
      <c r="AC285" s="43">
        <v>61.892673000000002</v>
      </c>
      <c r="AD285" s="43">
        <v>61.450122999999998</v>
      </c>
      <c r="AE285" s="43">
        <v>61.027782000000002</v>
      </c>
      <c r="AF285" s="43">
        <v>60.624671999999997</v>
      </c>
      <c r="AG285" s="43">
        <v>60.239986000000002</v>
      </c>
      <c r="AH285" s="43">
        <v>59.866638000000002</v>
      </c>
      <c r="AI285" s="35">
        <v>-1.2455000000000001E-2</v>
      </c>
    </row>
    <row r="286" spans="1:35" ht="15" customHeight="1" x14ac:dyDescent="0.35">
      <c r="A286" s="29" t="s">
        <v>66</v>
      </c>
      <c r="B286" s="33" t="s">
        <v>51</v>
      </c>
      <c r="C286" s="43">
        <v>0</v>
      </c>
      <c r="D286" s="43">
        <v>73.033057999999997</v>
      </c>
      <c r="E286" s="43">
        <v>71.033034999999998</v>
      </c>
      <c r="F286" s="43">
        <v>69.008071999999999</v>
      </c>
      <c r="G286" s="43">
        <v>67.318923999999996</v>
      </c>
      <c r="H286" s="43">
        <v>65.927841000000001</v>
      </c>
      <c r="I286" s="43">
        <v>64.437927000000002</v>
      </c>
      <c r="J286" s="43">
        <v>63.423732999999999</v>
      </c>
      <c r="K286" s="43">
        <v>62.462218999999997</v>
      </c>
      <c r="L286" s="43">
        <v>61.549014999999997</v>
      </c>
      <c r="M286" s="43">
        <v>60.681168</v>
      </c>
      <c r="N286" s="43">
        <v>59.855941999999999</v>
      </c>
      <c r="O286" s="43">
        <v>59.071418999999999</v>
      </c>
      <c r="P286" s="43">
        <v>58.325809</v>
      </c>
      <c r="Q286" s="43">
        <v>57.617393</v>
      </c>
      <c r="R286" s="43">
        <v>56.877563000000002</v>
      </c>
      <c r="S286" s="43">
        <v>56.158745000000003</v>
      </c>
      <c r="T286" s="43">
        <v>55.472900000000003</v>
      </c>
      <c r="U286" s="43">
        <v>54.818420000000003</v>
      </c>
      <c r="V286" s="43">
        <v>54.193916000000002</v>
      </c>
      <c r="W286" s="43">
        <v>53.598156000000003</v>
      </c>
      <c r="X286" s="43">
        <v>53.029761999999998</v>
      </c>
      <c r="Y286" s="43">
        <v>52.489693000000003</v>
      </c>
      <c r="Z286" s="43">
        <v>51.974181999999999</v>
      </c>
      <c r="AA286" s="43">
        <v>51.482117000000002</v>
      </c>
      <c r="AB286" s="43">
        <v>51.012447000000002</v>
      </c>
      <c r="AC286" s="43">
        <v>50.564177999999998</v>
      </c>
      <c r="AD286" s="43">
        <v>50.136341000000002</v>
      </c>
      <c r="AE286" s="43">
        <v>49.728026999999997</v>
      </c>
      <c r="AF286" s="43">
        <v>49.338360000000002</v>
      </c>
      <c r="AG286" s="43">
        <v>48.966495999999999</v>
      </c>
      <c r="AH286" s="43">
        <v>48.605431000000003</v>
      </c>
      <c r="AI286" s="35" t="s">
        <v>12</v>
      </c>
    </row>
    <row r="287" spans="1:35" ht="15" customHeight="1" x14ac:dyDescent="0.35">
      <c r="A287" s="29" t="s">
        <v>65</v>
      </c>
      <c r="B287" s="33" t="s">
        <v>49</v>
      </c>
      <c r="C287" s="43">
        <v>73.881202999999999</v>
      </c>
      <c r="D287" s="43">
        <v>72.197577999999993</v>
      </c>
      <c r="E287" s="43">
        <v>70.324241999999998</v>
      </c>
      <c r="F287" s="43">
        <v>68.320862000000005</v>
      </c>
      <c r="G287" s="43">
        <v>66.701949999999997</v>
      </c>
      <c r="H287" s="43">
        <v>65.158714000000003</v>
      </c>
      <c r="I287" s="43">
        <v>63.314158999999997</v>
      </c>
      <c r="J287" s="43">
        <v>62.263621999999998</v>
      </c>
      <c r="K287" s="43">
        <v>61.270457999999998</v>
      </c>
      <c r="L287" s="43">
        <v>60.325729000000003</v>
      </c>
      <c r="M287" s="43">
        <v>59.427081999999999</v>
      </c>
      <c r="N287" s="43">
        <v>58.57246</v>
      </c>
      <c r="O287" s="43">
        <v>57.759861000000001</v>
      </c>
      <c r="P287" s="43">
        <v>56.987437999999997</v>
      </c>
      <c r="Q287" s="43">
        <v>56.253048</v>
      </c>
      <c r="R287" s="43">
        <v>55.487929999999999</v>
      </c>
      <c r="S287" s="43">
        <v>54.745502000000002</v>
      </c>
      <c r="T287" s="43">
        <v>54.037117000000002</v>
      </c>
      <c r="U287" s="43">
        <v>53.361187000000001</v>
      </c>
      <c r="V287" s="43">
        <v>52.716285999999997</v>
      </c>
      <c r="W287" s="43">
        <v>52.101063000000003</v>
      </c>
      <c r="X287" s="43">
        <v>51.514225000000003</v>
      </c>
      <c r="Y287" s="43">
        <v>50.956642000000002</v>
      </c>
      <c r="Z287" s="43">
        <v>50.424396999999999</v>
      </c>
      <c r="AA287" s="43">
        <v>49.916355000000003</v>
      </c>
      <c r="AB287" s="43">
        <v>49.431423000000002</v>
      </c>
      <c r="AC287" s="43">
        <v>48.968567</v>
      </c>
      <c r="AD287" s="43">
        <v>48.526806000000001</v>
      </c>
      <c r="AE287" s="43">
        <v>48.10519</v>
      </c>
      <c r="AF287" s="43">
        <v>47.702824</v>
      </c>
      <c r="AG287" s="43">
        <v>47.318824999999997</v>
      </c>
      <c r="AH287" s="43">
        <v>46.946171</v>
      </c>
      <c r="AI287" s="35">
        <v>-1.4520999999999999E-2</v>
      </c>
    </row>
    <row r="288" spans="1:35" ht="15" customHeight="1" x14ac:dyDescent="0.35">
      <c r="A288" s="29" t="s">
        <v>64</v>
      </c>
      <c r="B288" s="33" t="s">
        <v>47</v>
      </c>
      <c r="C288" s="43">
        <v>84.575455000000005</v>
      </c>
      <c r="D288" s="43">
        <v>82.689521999999997</v>
      </c>
      <c r="E288" s="43">
        <v>80.609329000000002</v>
      </c>
      <c r="F288" s="43">
        <v>78.440460000000002</v>
      </c>
      <c r="G288" s="43">
        <v>76.478049999999996</v>
      </c>
      <c r="H288" s="43">
        <v>74.831717999999995</v>
      </c>
      <c r="I288" s="43">
        <v>73.012939000000003</v>
      </c>
      <c r="J288" s="43">
        <v>71.842995000000002</v>
      </c>
      <c r="K288" s="43">
        <v>70.727874999999997</v>
      </c>
      <c r="L288" s="43">
        <v>69.666732999999994</v>
      </c>
      <c r="M288" s="43">
        <v>68.657180999999994</v>
      </c>
      <c r="N288" s="43">
        <v>67.696686</v>
      </c>
      <c r="O288" s="43">
        <v>66.783355999999998</v>
      </c>
      <c r="P288" s="43">
        <v>65.914719000000005</v>
      </c>
      <c r="Q288" s="43">
        <v>65.088898</v>
      </c>
      <c r="R288" s="43">
        <v>64.238937000000007</v>
      </c>
      <c r="S288" s="43">
        <v>63.415667999999997</v>
      </c>
      <c r="T288" s="43">
        <v>62.630130999999999</v>
      </c>
      <c r="U288" s="43">
        <v>61.880535000000002</v>
      </c>
      <c r="V288" s="43">
        <v>61.165325000000003</v>
      </c>
      <c r="W288" s="43">
        <v>60.483013</v>
      </c>
      <c r="X288" s="43">
        <v>59.832127</v>
      </c>
      <c r="Y288" s="43">
        <v>59.213653999999998</v>
      </c>
      <c r="Z288" s="43">
        <v>58.623263999999999</v>
      </c>
      <c r="AA288" s="43">
        <v>58.059688999999999</v>
      </c>
      <c r="AB288" s="43">
        <v>57.521735999999997</v>
      </c>
      <c r="AC288" s="43">
        <v>57.008223999999998</v>
      </c>
      <c r="AD288" s="43">
        <v>56.518096999999997</v>
      </c>
      <c r="AE288" s="43">
        <v>56.050303999999997</v>
      </c>
      <c r="AF288" s="43">
        <v>55.603802000000002</v>
      </c>
      <c r="AG288" s="43">
        <v>55.177681</v>
      </c>
      <c r="AH288" s="43">
        <v>54.764781999999997</v>
      </c>
      <c r="AI288" s="35">
        <v>-1.3920999999999999E-2</v>
      </c>
    </row>
    <row r="289" spans="1:35" ht="15" customHeight="1" x14ac:dyDescent="0.35">
      <c r="A289" s="29" t="s">
        <v>63</v>
      </c>
      <c r="B289" s="33" t="s">
        <v>45</v>
      </c>
      <c r="C289" s="43">
        <v>0</v>
      </c>
      <c r="D289" s="43">
        <v>0</v>
      </c>
      <c r="E289" s="43">
        <v>0</v>
      </c>
      <c r="F289" s="43">
        <v>0</v>
      </c>
      <c r="G289" s="43">
        <v>0</v>
      </c>
      <c r="H289" s="43">
        <v>0</v>
      </c>
      <c r="I289" s="43">
        <v>0</v>
      </c>
      <c r="J289" s="43">
        <v>0</v>
      </c>
      <c r="K289" s="43">
        <v>0</v>
      </c>
      <c r="L289" s="43">
        <v>0</v>
      </c>
      <c r="M289" s="43">
        <v>0</v>
      </c>
      <c r="N289" s="43">
        <v>0</v>
      </c>
      <c r="O289" s="43">
        <v>0</v>
      </c>
      <c r="P289" s="43">
        <v>0</v>
      </c>
      <c r="Q289" s="43">
        <v>0</v>
      </c>
      <c r="R289" s="43">
        <v>0</v>
      </c>
      <c r="S289" s="43">
        <v>0</v>
      </c>
      <c r="T289" s="43">
        <v>0</v>
      </c>
      <c r="U289" s="43">
        <v>0</v>
      </c>
      <c r="V289" s="43">
        <v>0</v>
      </c>
      <c r="W289" s="43">
        <v>0</v>
      </c>
      <c r="X289" s="43">
        <v>0</v>
      </c>
      <c r="Y289" s="43">
        <v>0</v>
      </c>
      <c r="Z289" s="43">
        <v>0</v>
      </c>
      <c r="AA289" s="43">
        <v>0</v>
      </c>
      <c r="AB289" s="43">
        <v>0</v>
      </c>
      <c r="AC289" s="43">
        <v>0</v>
      </c>
      <c r="AD289" s="43">
        <v>0</v>
      </c>
      <c r="AE289" s="43">
        <v>0</v>
      </c>
      <c r="AF289" s="43">
        <v>0</v>
      </c>
      <c r="AG289" s="43">
        <v>0</v>
      </c>
      <c r="AH289" s="43">
        <v>0</v>
      </c>
      <c r="AI289" s="35" t="s">
        <v>12</v>
      </c>
    </row>
    <row r="290" spans="1:35" ht="15" customHeight="1" x14ac:dyDescent="0.35">
      <c r="A290" s="29" t="s">
        <v>708</v>
      </c>
      <c r="B290" s="33" t="s">
        <v>556</v>
      </c>
      <c r="C290" s="43">
        <v>0</v>
      </c>
      <c r="D290" s="43">
        <v>0</v>
      </c>
      <c r="E290" s="43">
        <v>0</v>
      </c>
      <c r="F290" s="43">
        <v>0</v>
      </c>
      <c r="G290" s="43">
        <v>0</v>
      </c>
      <c r="H290" s="43">
        <v>0</v>
      </c>
      <c r="I290" s="43">
        <v>0</v>
      </c>
      <c r="J290" s="43">
        <v>0</v>
      </c>
      <c r="K290" s="43">
        <v>0</v>
      </c>
      <c r="L290" s="43">
        <v>0</v>
      </c>
      <c r="M290" s="43">
        <v>0</v>
      </c>
      <c r="N290" s="43">
        <v>0</v>
      </c>
      <c r="O290" s="43">
        <v>0</v>
      </c>
      <c r="P290" s="43">
        <v>0</v>
      </c>
      <c r="Q290" s="43">
        <v>0</v>
      </c>
      <c r="R290" s="43">
        <v>0</v>
      </c>
      <c r="S290" s="43">
        <v>0</v>
      </c>
      <c r="T290" s="43">
        <v>0</v>
      </c>
      <c r="U290" s="43">
        <v>0</v>
      </c>
      <c r="V290" s="43">
        <v>0</v>
      </c>
      <c r="W290" s="43">
        <v>0</v>
      </c>
      <c r="X290" s="43">
        <v>0</v>
      </c>
      <c r="Y290" s="43">
        <v>0</v>
      </c>
      <c r="Z290" s="43">
        <v>0</v>
      </c>
      <c r="AA290" s="43">
        <v>0</v>
      </c>
      <c r="AB290" s="43">
        <v>0</v>
      </c>
      <c r="AC290" s="43">
        <v>0</v>
      </c>
      <c r="AD290" s="43">
        <v>0</v>
      </c>
      <c r="AE290" s="43">
        <v>0</v>
      </c>
      <c r="AF290" s="43">
        <v>0</v>
      </c>
      <c r="AG290" s="43">
        <v>0</v>
      </c>
      <c r="AH290" s="43">
        <v>0</v>
      </c>
      <c r="AI290" s="35" t="s">
        <v>12</v>
      </c>
    </row>
    <row r="291" spans="1:35" ht="15" customHeight="1" x14ac:dyDescent="0.35">
      <c r="A291" s="29" t="s">
        <v>709</v>
      </c>
      <c r="B291" s="33" t="s">
        <v>557</v>
      </c>
      <c r="C291" s="43">
        <v>0</v>
      </c>
      <c r="D291" s="43">
        <v>0</v>
      </c>
      <c r="E291" s="43">
        <v>0</v>
      </c>
      <c r="F291" s="43">
        <v>0</v>
      </c>
      <c r="G291" s="43">
        <v>0</v>
      </c>
      <c r="H291" s="43">
        <v>0</v>
      </c>
      <c r="I291" s="43">
        <v>0</v>
      </c>
      <c r="J291" s="43">
        <v>0</v>
      </c>
      <c r="K291" s="43">
        <v>0</v>
      </c>
      <c r="L291" s="43">
        <v>0</v>
      </c>
      <c r="M291" s="43">
        <v>0</v>
      </c>
      <c r="N291" s="43">
        <v>0</v>
      </c>
      <c r="O291" s="43">
        <v>0</v>
      </c>
      <c r="P291" s="43">
        <v>0</v>
      </c>
      <c r="Q291" s="43">
        <v>0</v>
      </c>
      <c r="R291" s="43">
        <v>0</v>
      </c>
      <c r="S291" s="43">
        <v>0</v>
      </c>
      <c r="T291" s="43">
        <v>0</v>
      </c>
      <c r="U291" s="43">
        <v>0</v>
      </c>
      <c r="V291" s="43">
        <v>0</v>
      </c>
      <c r="W291" s="43">
        <v>0</v>
      </c>
      <c r="X291" s="43">
        <v>0</v>
      </c>
      <c r="Y291" s="43">
        <v>0</v>
      </c>
      <c r="Z291" s="43">
        <v>0</v>
      </c>
      <c r="AA291" s="43">
        <v>0</v>
      </c>
      <c r="AB291" s="43">
        <v>0</v>
      </c>
      <c r="AC291" s="43">
        <v>0</v>
      </c>
      <c r="AD291" s="43">
        <v>0</v>
      </c>
      <c r="AE291" s="43">
        <v>0</v>
      </c>
      <c r="AF291" s="43">
        <v>0</v>
      </c>
      <c r="AG291" s="43">
        <v>0</v>
      </c>
      <c r="AH291" s="43">
        <v>0</v>
      </c>
      <c r="AI291" s="35" t="s">
        <v>12</v>
      </c>
    </row>
    <row r="292" spans="1:35" ht="15" customHeight="1" x14ac:dyDescent="0.35">
      <c r="A292" s="29" t="s">
        <v>62</v>
      </c>
      <c r="B292" s="33" t="s">
        <v>43</v>
      </c>
      <c r="C292" s="43">
        <v>0</v>
      </c>
      <c r="D292" s="43">
        <v>0</v>
      </c>
      <c r="E292" s="43">
        <v>0</v>
      </c>
      <c r="F292" s="43">
        <v>0</v>
      </c>
      <c r="G292" s="43">
        <v>0</v>
      </c>
      <c r="H292" s="43">
        <v>0</v>
      </c>
      <c r="I292" s="43">
        <v>0</v>
      </c>
      <c r="J292" s="43">
        <v>0</v>
      </c>
      <c r="K292" s="43">
        <v>0</v>
      </c>
      <c r="L292" s="43">
        <v>0</v>
      </c>
      <c r="M292" s="43">
        <v>0</v>
      </c>
      <c r="N292" s="43">
        <v>0</v>
      </c>
      <c r="O292" s="43">
        <v>0</v>
      </c>
      <c r="P292" s="43">
        <v>0</v>
      </c>
      <c r="Q292" s="43">
        <v>0</v>
      </c>
      <c r="R292" s="43">
        <v>0</v>
      </c>
      <c r="S292" s="43">
        <v>0</v>
      </c>
      <c r="T292" s="43">
        <v>0</v>
      </c>
      <c r="U292" s="43">
        <v>0</v>
      </c>
      <c r="V292" s="43">
        <v>0</v>
      </c>
      <c r="W292" s="43">
        <v>0</v>
      </c>
      <c r="X292" s="43">
        <v>0</v>
      </c>
      <c r="Y292" s="43">
        <v>0</v>
      </c>
      <c r="Z292" s="43">
        <v>0</v>
      </c>
      <c r="AA292" s="43">
        <v>0</v>
      </c>
      <c r="AB292" s="43">
        <v>0</v>
      </c>
      <c r="AC292" s="43">
        <v>0</v>
      </c>
      <c r="AD292" s="43">
        <v>0</v>
      </c>
      <c r="AE292" s="43">
        <v>0</v>
      </c>
      <c r="AF292" s="43">
        <v>0</v>
      </c>
      <c r="AG292" s="43">
        <v>0</v>
      </c>
      <c r="AH292" s="43">
        <v>0</v>
      </c>
      <c r="AI292" s="35" t="s">
        <v>12</v>
      </c>
    </row>
    <row r="293" spans="1:35" ht="15" customHeight="1" x14ac:dyDescent="0.35">
      <c r="A293" s="29" t="s">
        <v>61</v>
      </c>
      <c r="B293" s="33" t="s">
        <v>41</v>
      </c>
      <c r="C293" s="43">
        <v>0</v>
      </c>
      <c r="D293" s="43">
        <v>0</v>
      </c>
      <c r="E293" s="43">
        <v>0</v>
      </c>
      <c r="F293" s="43">
        <v>0</v>
      </c>
      <c r="G293" s="43">
        <v>0</v>
      </c>
      <c r="H293" s="43">
        <v>0</v>
      </c>
      <c r="I293" s="43">
        <v>0</v>
      </c>
      <c r="J293" s="43">
        <v>0</v>
      </c>
      <c r="K293" s="43">
        <v>0</v>
      </c>
      <c r="L293" s="43">
        <v>0</v>
      </c>
      <c r="M293" s="43">
        <v>0</v>
      </c>
      <c r="N293" s="43">
        <v>0</v>
      </c>
      <c r="O293" s="43">
        <v>0</v>
      </c>
      <c r="P293" s="43">
        <v>0</v>
      </c>
      <c r="Q293" s="43">
        <v>0</v>
      </c>
      <c r="R293" s="43">
        <v>0</v>
      </c>
      <c r="S293" s="43">
        <v>0</v>
      </c>
      <c r="T293" s="43">
        <v>0</v>
      </c>
      <c r="U293" s="43">
        <v>0</v>
      </c>
      <c r="V293" s="43">
        <v>0</v>
      </c>
      <c r="W293" s="43">
        <v>0</v>
      </c>
      <c r="X293" s="43">
        <v>0</v>
      </c>
      <c r="Y293" s="43">
        <v>0</v>
      </c>
      <c r="Z293" s="43">
        <v>0</v>
      </c>
      <c r="AA293" s="43">
        <v>0</v>
      </c>
      <c r="AB293" s="43">
        <v>0</v>
      </c>
      <c r="AC293" s="43">
        <v>0</v>
      </c>
      <c r="AD293" s="43">
        <v>0</v>
      </c>
      <c r="AE293" s="43">
        <v>0</v>
      </c>
      <c r="AF293" s="43">
        <v>0</v>
      </c>
      <c r="AG293" s="43">
        <v>0</v>
      </c>
      <c r="AH293" s="43">
        <v>0</v>
      </c>
      <c r="AI293" s="35" t="s">
        <v>12</v>
      </c>
    </row>
    <row r="294" spans="1:35" ht="15" customHeight="1" x14ac:dyDescent="0.35">
      <c r="A294" s="29" t="s">
        <v>60</v>
      </c>
      <c r="B294" s="33" t="s">
        <v>39</v>
      </c>
      <c r="C294" s="43">
        <v>90.597915999999998</v>
      </c>
      <c r="D294" s="43">
        <v>88.249724999999998</v>
      </c>
      <c r="E294" s="43">
        <v>86.010185000000007</v>
      </c>
      <c r="F294" s="43">
        <v>83.444939000000005</v>
      </c>
      <c r="G294" s="43">
        <v>81.280777</v>
      </c>
      <c r="H294" s="43">
        <v>78.986023000000003</v>
      </c>
      <c r="I294" s="43">
        <v>77.134215999999995</v>
      </c>
      <c r="J294" s="43">
        <v>75.685912999999999</v>
      </c>
      <c r="K294" s="43">
        <v>74.305633999999998</v>
      </c>
      <c r="L294" s="43">
        <v>72.991394</v>
      </c>
      <c r="M294" s="43">
        <v>71.740066999999996</v>
      </c>
      <c r="N294" s="43">
        <v>70.548903999999993</v>
      </c>
      <c r="O294" s="43">
        <v>69.417084000000003</v>
      </c>
      <c r="P294" s="43">
        <v>68.339873999999995</v>
      </c>
      <c r="Q294" s="43">
        <v>67.315146999999996</v>
      </c>
      <c r="R294" s="43">
        <v>66.273231999999993</v>
      </c>
      <c r="S294" s="43">
        <v>65.265799999999999</v>
      </c>
      <c r="T294" s="43">
        <v>64.304596000000004</v>
      </c>
      <c r="U294" s="43">
        <v>63.387478000000002</v>
      </c>
      <c r="V294" s="43">
        <v>62.512497000000003</v>
      </c>
      <c r="W294" s="43">
        <v>61.677684999999997</v>
      </c>
      <c r="X294" s="43">
        <v>60.881359000000003</v>
      </c>
      <c r="Y294" s="43">
        <v>60.124648999999998</v>
      </c>
      <c r="Z294" s="43">
        <v>59.402267000000002</v>
      </c>
      <c r="AA294" s="43">
        <v>58.712662000000002</v>
      </c>
      <c r="AB294" s="43">
        <v>58.054333</v>
      </c>
      <c r="AC294" s="43">
        <v>57.42606</v>
      </c>
      <c r="AD294" s="43">
        <v>56.826351000000003</v>
      </c>
      <c r="AE294" s="43">
        <v>56.253864</v>
      </c>
      <c r="AF294" s="43">
        <v>55.707596000000002</v>
      </c>
      <c r="AG294" s="43">
        <v>55.186019999999999</v>
      </c>
      <c r="AH294" s="43">
        <v>54.682063999999997</v>
      </c>
      <c r="AI294" s="35">
        <v>-1.6154999999999999E-2</v>
      </c>
    </row>
    <row r="295" spans="1:35" ht="15" customHeight="1" x14ac:dyDescent="0.35">
      <c r="A295" s="29" t="s">
        <v>59</v>
      </c>
      <c r="B295" s="33" t="s">
        <v>37</v>
      </c>
      <c r="C295" s="43">
        <v>0</v>
      </c>
      <c r="D295" s="43">
        <v>0</v>
      </c>
      <c r="E295" s="43">
        <v>0</v>
      </c>
      <c r="F295" s="43">
        <v>0</v>
      </c>
      <c r="G295" s="43">
        <v>0</v>
      </c>
      <c r="H295" s="43">
        <v>0</v>
      </c>
      <c r="I295" s="43">
        <v>0</v>
      </c>
      <c r="J295" s="43">
        <v>0</v>
      </c>
      <c r="K295" s="43">
        <v>0</v>
      </c>
      <c r="L295" s="43">
        <v>0</v>
      </c>
      <c r="M295" s="43">
        <v>0</v>
      </c>
      <c r="N295" s="43">
        <v>0</v>
      </c>
      <c r="O295" s="43">
        <v>0</v>
      </c>
      <c r="P295" s="43">
        <v>0</v>
      </c>
      <c r="Q295" s="43">
        <v>0</v>
      </c>
      <c r="R295" s="43">
        <v>0</v>
      </c>
      <c r="S295" s="43">
        <v>0</v>
      </c>
      <c r="T295" s="43">
        <v>0</v>
      </c>
      <c r="U295" s="43">
        <v>0</v>
      </c>
      <c r="V295" s="43">
        <v>0</v>
      </c>
      <c r="W295" s="43">
        <v>0</v>
      </c>
      <c r="X295" s="43">
        <v>0</v>
      </c>
      <c r="Y295" s="43">
        <v>0</v>
      </c>
      <c r="Z295" s="43">
        <v>0</v>
      </c>
      <c r="AA295" s="43">
        <v>0</v>
      </c>
      <c r="AB295" s="43">
        <v>0</v>
      </c>
      <c r="AC295" s="43">
        <v>0</v>
      </c>
      <c r="AD295" s="43">
        <v>0</v>
      </c>
      <c r="AE295" s="43">
        <v>0</v>
      </c>
      <c r="AF295" s="43">
        <v>0</v>
      </c>
      <c r="AG295" s="43">
        <v>0</v>
      </c>
      <c r="AH295" s="43">
        <v>0</v>
      </c>
      <c r="AI295" s="35" t="s">
        <v>12</v>
      </c>
    </row>
    <row r="296" spans="1:35" ht="15" customHeight="1" x14ac:dyDescent="0.35">
      <c r="A296" s="29" t="s">
        <v>58</v>
      </c>
      <c r="B296" s="33" t="s">
        <v>35</v>
      </c>
      <c r="C296" s="43">
        <v>0</v>
      </c>
      <c r="D296" s="43">
        <v>0</v>
      </c>
      <c r="E296" s="43">
        <v>0</v>
      </c>
      <c r="F296" s="43">
        <v>0</v>
      </c>
      <c r="G296" s="43">
        <v>0</v>
      </c>
      <c r="H296" s="43">
        <v>0</v>
      </c>
      <c r="I296" s="43">
        <v>0</v>
      </c>
      <c r="J296" s="43">
        <v>0</v>
      </c>
      <c r="K296" s="43">
        <v>0</v>
      </c>
      <c r="L296" s="43">
        <v>0</v>
      </c>
      <c r="M296" s="43">
        <v>0</v>
      </c>
      <c r="N296" s="43">
        <v>0</v>
      </c>
      <c r="O296" s="43">
        <v>0</v>
      </c>
      <c r="P296" s="43">
        <v>0</v>
      </c>
      <c r="Q296" s="43">
        <v>0</v>
      </c>
      <c r="R296" s="43">
        <v>0</v>
      </c>
      <c r="S296" s="43">
        <v>0</v>
      </c>
      <c r="T296" s="43">
        <v>0</v>
      </c>
      <c r="U296" s="43">
        <v>0</v>
      </c>
      <c r="V296" s="43">
        <v>0</v>
      </c>
      <c r="W296" s="43">
        <v>0</v>
      </c>
      <c r="X296" s="43">
        <v>0</v>
      </c>
      <c r="Y296" s="43">
        <v>0</v>
      </c>
      <c r="Z296" s="43">
        <v>0</v>
      </c>
      <c r="AA296" s="43">
        <v>0</v>
      </c>
      <c r="AB296" s="43">
        <v>0</v>
      </c>
      <c r="AC296" s="43">
        <v>0</v>
      </c>
      <c r="AD296" s="43">
        <v>0</v>
      </c>
      <c r="AE296" s="43">
        <v>0</v>
      </c>
      <c r="AF296" s="43">
        <v>0</v>
      </c>
      <c r="AG296" s="43">
        <v>0</v>
      </c>
      <c r="AH296" s="43">
        <v>0</v>
      </c>
      <c r="AI296" s="35" t="s">
        <v>12</v>
      </c>
    </row>
    <row r="297" spans="1:35" ht="15" customHeight="1" x14ac:dyDescent="0.35">
      <c r="A297" s="29" t="s">
        <v>57</v>
      </c>
      <c r="B297" s="33" t="s">
        <v>33</v>
      </c>
      <c r="C297" s="43">
        <v>0</v>
      </c>
      <c r="D297" s="43">
        <v>0</v>
      </c>
      <c r="E297" s="43">
        <v>0</v>
      </c>
      <c r="F297" s="43">
        <v>0</v>
      </c>
      <c r="G297" s="43">
        <v>0</v>
      </c>
      <c r="H297" s="43">
        <v>0</v>
      </c>
      <c r="I297" s="43">
        <v>0</v>
      </c>
      <c r="J297" s="43">
        <v>0</v>
      </c>
      <c r="K297" s="43">
        <v>0</v>
      </c>
      <c r="L297" s="43">
        <v>0</v>
      </c>
      <c r="M297" s="43">
        <v>0</v>
      </c>
      <c r="N297" s="43">
        <v>0</v>
      </c>
      <c r="O297" s="43">
        <v>0</v>
      </c>
      <c r="P297" s="43">
        <v>0</v>
      </c>
      <c r="Q297" s="43">
        <v>0</v>
      </c>
      <c r="R297" s="43">
        <v>0</v>
      </c>
      <c r="S297" s="43">
        <v>0</v>
      </c>
      <c r="T297" s="43">
        <v>0</v>
      </c>
      <c r="U297" s="43">
        <v>0</v>
      </c>
      <c r="V297" s="43">
        <v>0</v>
      </c>
      <c r="W297" s="43">
        <v>0</v>
      </c>
      <c r="X297" s="43">
        <v>0</v>
      </c>
      <c r="Y297" s="43">
        <v>0</v>
      </c>
      <c r="Z297" s="43">
        <v>0</v>
      </c>
      <c r="AA297" s="43">
        <v>0</v>
      </c>
      <c r="AB297" s="43">
        <v>0</v>
      </c>
      <c r="AC297" s="43">
        <v>0</v>
      </c>
      <c r="AD297" s="43">
        <v>0</v>
      </c>
      <c r="AE297" s="43">
        <v>0</v>
      </c>
      <c r="AF297" s="43">
        <v>0</v>
      </c>
      <c r="AG297" s="43">
        <v>0</v>
      </c>
      <c r="AH297" s="43">
        <v>0</v>
      </c>
      <c r="AI297" s="35" t="s">
        <v>12</v>
      </c>
    </row>
    <row r="298" spans="1:35" ht="15" customHeight="1" x14ac:dyDescent="0.35">
      <c r="A298" s="29" t="s">
        <v>710</v>
      </c>
      <c r="B298" s="33" t="s">
        <v>558</v>
      </c>
      <c r="C298" s="43">
        <v>0</v>
      </c>
      <c r="D298" s="43">
        <v>78.897971999999996</v>
      </c>
      <c r="E298" s="43">
        <v>76.747162000000003</v>
      </c>
      <c r="F298" s="43">
        <v>74.356482999999997</v>
      </c>
      <c r="G298" s="43">
        <v>72.502167</v>
      </c>
      <c r="H298" s="43">
        <v>70.640609999999995</v>
      </c>
      <c r="I298" s="43">
        <v>68.862899999999996</v>
      </c>
      <c r="J298" s="43">
        <v>67.711654999999993</v>
      </c>
      <c r="K298" s="43">
        <v>66.615371999999994</v>
      </c>
      <c r="L298" s="43">
        <v>65.572220000000002</v>
      </c>
      <c r="M298" s="43">
        <v>64.579597000000007</v>
      </c>
      <c r="N298" s="43">
        <v>63.635264999999997</v>
      </c>
      <c r="O298" s="43">
        <v>62.737045000000002</v>
      </c>
      <c r="P298" s="43">
        <v>61.882851000000002</v>
      </c>
      <c r="Q298" s="43">
        <v>61.070762999999999</v>
      </c>
      <c r="R298" s="43">
        <v>60.231791999999999</v>
      </c>
      <c r="S298" s="43">
        <v>59.418365000000001</v>
      </c>
      <c r="T298" s="43">
        <v>58.642147000000001</v>
      </c>
      <c r="U298" s="43">
        <v>57.901577000000003</v>
      </c>
      <c r="V298" s="43">
        <v>57.195061000000003</v>
      </c>
      <c r="W298" s="43">
        <v>56.521065</v>
      </c>
      <c r="X298" s="43">
        <v>55.878169999999997</v>
      </c>
      <c r="Y298" s="43">
        <v>55.267315000000004</v>
      </c>
      <c r="Z298" s="43">
        <v>54.684212000000002</v>
      </c>
      <c r="AA298" s="43">
        <v>54.127628000000001</v>
      </c>
      <c r="AB298" s="43">
        <v>53.596336000000001</v>
      </c>
      <c r="AC298" s="43">
        <v>53.089123000000001</v>
      </c>
      <c r="AD298" s="43">
        <v>52.605049000000001</v>
      </c>
      <c r="AE298" s="43">
        <v>52.143028000000001</v>
      </c>
      <c r="AF298" s="43">
        <v>51.702019</v>
      </c>
      <c r="AG298" s="43">
        <v>51.281177999999997</v>
      </c>
      <c r="AH298" s="43">
        <v>50.873309999999996</v>
      </c>
      <c r="AI298" s="35" t="s">
        <v>12</v>
      </c>
    </row>
    <row r="299" spans="1:35" ht="15" customHeight="1" x14ac:dyDescent="0.35">
      <c r="A299" s="29" t="s">
        <v>711</v>
      </c>
      <c r="B299" s="33" t="s">
        <v>559</v>
      </c>
      <c r="C299" s="43">
        <v>0</v>
      </c>
      <c r="D299" s="43">
        <v>0</v>
      </c>
      <c r="E299" s="43">
        <v>0</v>
      </c>
      <c r="F299" s="43">
        <v>0</v>
      </c>
      <c r="G299" s="43">
        <v>0</v>
      </c>
      <c r="H299" s="43">
        <v>0</v>
      </c>
      <c r="I299" s="43">
        <v>87.350425999999999</v>
      </c>
      <c r="J299" s="43">
        <v>85.953339</v>
      </c>
      <c r="K299" s="43">
        <v>84.625977000000006</v>
      </c>
      <c r="L299" s="43">
        <v>83.362945999999994</v>
      </c>
      <c r="M299" s="43">
        <v>82.160399999999996</v>
      </c>
      <c r="N299" s="43">
        <v>81.015656000000007</v>
      </c>
      <c r="O299" s="43">
        <v>79.926056000000003</v>
      </c>
      <c r="P299" s="43">
        <v>78.889160000000004</v>
      </c>
      <c r="Q299" s="43">
        <v>77.902648999999997</v>
      </c>
      <c r="R299" s="43">
        <v>76.897109999999998</v>
      </c>
      <c r="S299" s="43">
        <v>75.924660000000003</v>
      </c>
      <c r="T299" s="43">
        <v>74.996596999999994</v>
      </c>
      <c r="U299" s="43">
        <v>74.111107000000004</v>
      </c>
      <c r="V299" s="43">
        <v>73.266334999999998</v>
      </c>
      <c r="W299" s="43">
        <v>72.460387999999995</v>
      </c>
      <c r="X299" s="43">
        <v>71.691597000000002</v>
      </c>
      <c r="Y299" s="43">
        <v>70.961098000000007</v>
      </c>
      <c r="Z299" s="43">
        <v>70.263756000000001</v>
      </c>
      <c r="AA299" s="43">
        <v>69.598236</v>
      </c>
      <c r="AB299" s="43">
        <v>68.962897999999996</v>
      </c>
      <c r="AC299" s="43">
        <v>68.356605999999999</v>
      </c>
      <c r="AD299" s="43">
        <v>67.777687</v>
      </c>
      <c r="AE299" s="43">
        <v>67.225043999999997</v>
      </c>
      <c r="AF299" s="43">
        <v>66.697716</v>
      </c>
      <c r="AG299" s="43">
        <v>66.19426</v>
      </c>
      <c r="AH299" s="43">
        <v>65.707595999999995</v>
      </c>
      <c r="AI299" s="35" t="s">
        <v>12</v>
      </c>
    </row>
    <row r="301" spans="1:35" ht="15" customHeight="1" x14ac:dyDescent="0.35">
      <c r="A301" s="25"/>
      <c r="B301" s="32" t="s">
        <v>32</v>
      </c>
      <c r="C301" s="25"/>
      <c r="D301" s="25"/>
      <c r="E301" s="25"/>
      <c r="F301" s="25"/>
      <c r="G301" s="25"/>
      <c r="H301" s="25"/>
      <c r="I301" s="25"/>
      <c r="J301" s="25"/>
      <c r="K301" s="25"/>
      <c r="L301" s="25"/>
      <c r="M301" s="25"/>
      <c r="N301" s="25"/>
      <c r="O301" s="25"/>
      <c r="P301" s="25"/>
      <c r="Q301" s="25"/>
      <c r="R301" s="25"/>
      <c r="S301" s="25"/>
      <c r="T301" s="25"/>
      <c r="U301" s="25"/>
      <c r="V301" s="25"/>
      <c r="W301" s="25"/>
      <c r="X301" s="25"/>
      <c r="Y301" s="25"/>
      <c r="Z301" s="25"/>
      <c r="AA301" s="25"/>
      <c r="AB301" s="25"/>
      <c r="AC301" s="25"/>
      <c r="AD301" s="25"/>
      <c r="AE301" s="25"/>
      <c r="AF301" s="25"/>
      <c r="AG301" s="25"/>
      <c r="AH301" s="25"/>
      <c r="AI301" s="25"/>
    </row>
    <row r="302" spans="1:35" ht="15" customHeight="1" x14ac:dyDescent="0.35">
      <c r="A302" s="29" t="s">
        <v>31</v>
      </c>
      <c r="B302" s="33" t="s">
        <v>30</v>
      </c>
      <c r="C302" s="43">
        <v>32.333649000000001</v>
      </c>
      <c r="D302" s="43">
        <v>32.920906000000002</v>
      </c>
      <c r="E302" s="43">
        <v>33.599086999999997</v>
      </c>
      <c r="F302" s="43">
        <v>33.890030000000003</v>
      </c>
      <c r="G302" s="43">
        <v>34.177836999999997</v>
      </c>
      <c r="H302" s="43">
        <v>34.422173000000001</v>
      </c>
      <c r="I302" s="43">
        <v>34.852001000000001</v>
      </c>
      <c r="J302" s="43">
        <v>34.934489999999997</v>
      </c>
      <c r="K302" s="43">
        <v>35.019061999999998</v>
      </c>
      <c r="L302" s="43">
        <v>35.138058000000001</v>
      </c>
      <c r="M302" s="43">
        <v>35.268360000000001</v>
      </c>
      <c r="N302" s="43">
        <v>35.424346999999997</v>
      </c>
      <c r="O302" s="43">
        <v>35.634239000000001</v>
      </c>
      <c r="P302" s="43">
        <v>35.822429999999997</v>
      </c>
      <c r="Q302" s="43">
        <v>36.001545</v>
      </c>
      <c r="R302" s="43">
        <v>36.122382999999999</v>
      </c>
      <c r="S302" s="43">
        <v>36.231223999999997</v>
      </c>
      <c r="T302" s="43">
        <v>36.323860000000003</v>
      </c>
      <c r="U302" s="43">
        <v>36.412703999999998</v>
      </c>
      <c r="V302" s="43">
        <v>36.476894000000001</v>
      </c>
      <c r="W302" s="43">
        <v>36.545357000000003</v>
      </c>
      <c r="X302" s="43">
        <v>36.614071000000003</v>
      </c>
      <c r="Y302" s="43">
        <v>36.671756999999999</v>
      </c>
      <c r="Z302" s="43">
        <v>36.729233000000001</v>
      </c>
      <c r="AA302" s="43">
        <v>36.803153999999999</v>
      </c>
      <c r="AB302" s="43">
        <v>36.865963000000001</v>
      </c>
      <c r="AC302" s="43">
        <v>36.927464000000001</v>
      </c>
      <c r="AD302" s="43">
        <v>37.000079999999997</v>
      </c>
      <c r="AE302" s="43">
        <v>37.060409999999997</v>
      </c>
      <c r="AF302" s="43">
        <v>37.146141</v>
      </c>
      <c r="AG302" s="43">
        <v>37.226421000000002</v>
      </c>
      <c r="AH302" s="43">
        <v>37.296860000000002</v>
      </c>
      <c r="AI302" s="35">
        <v>4.6169999999999996E-3</v>
      </c>
    </row>
    <row r="303" spans="1:35" ht="15" customHeight="1" x14ac:dyDescent="0.35">
      <c r="A303" s="29" t="s">
        <v>29</v>
      </c>
      <c r="B303" s="33" t="s">
        <v>28</v>
      </c>
      <c r="C303" s="43">
        <v>39.214683999999998</v>
      </c>
      <c r="D303" s="43">
        <v>39.723351000000001</v>
      </c>
      <c r="E303" s="43">
        <v>40.123446999999999</v>
      </c>
      <c r="F303" s="43">
        <v>40.486317</v>
      </c>
      <c r="G303" s="43">
        <v>40.756557000000001</v>
      </c>
      <c r="H303" s="43">
        <v>41.175075999999997</v>
      </c>
      <c r="I303" s="43">
        <v>41.551158999999998</v>
      </c>
      <c r="J303" s="43">
        <v>41.677643000000003</v>
      </c>
      <c r="K303" s="43">
        <v>41.783619000000002</v>
      </c>
      <c r="L303" s="43">
        <v>41.880768000000003</v>
      </c>
      <c r="M303" s="43">
        <v>41.983986000000002</v>
      </c>
      <c r="N303" s="43">
        <v>42.092250999999997</v>
      </c>
      <c r="O303" s="43">
        <v>42.202759</v>
      </c>
      <c r="P303" s="43">
        <v>42.319302</v>
      </c>
      <c r="Q303" s="43">
        <v>42.435436000000003</v>
      </c>
      <c r="R303" s="43">
        <v>42.485847</v>
      </c>
      <c r="S303" s="43">
        <v>42.523636000000003</v>
      </c>
      <c r="T303" s="43">
        <v>42.561793999999999</v>
      </c>
      <c r="U303" s="43">
        <v>42.596977000000003</v>
      </c>
      <c r="V303" s="43">
        <v>42.633957000000002</v>
      </c>
      <c r="W303" s="43">
        <v>42.670338000000001</v>
      </c>
      <c r="X303" s="43">
        <v>42.70467</v>
      </c>
      <c r="Y303" s="43">
        <v>42.736088000000002</v>
      </c>
      <c r="Z303" s="43">
        <v>42.768462999999997</v>
      </c>
      <c r="AA303" s="43">
        <v>42.799545000000002</v>
      </c>
      <c r="AB303" s="43">
        <v>42.830727000000003</v>
      </c>
      <c r="AC303" s="43">
        <v>42.863723999999998</v>
      </c>
      <c r="AD303" s="43">
        <v>42.894897</v>
      </c>
      <c r="AE303" s="43">
        <v>42.931342999999998</v>
      </c>
      <c r="AF303" s="43">
        <v>42.965995999999997</v>
      </c>
      <c r="AG303" s="43">
        <v>43.001244</v>
      </c>
      <c r="AH303" s="43">
        <v>43.030090000000001</v>
      </c>
      <c r="AI303" s="35">
        <v>3.0000000000000001E-3</v>
      </c>
    </row>
    <row r="304" spans="1:35" ht="15" customHeight="1" x14ac:dyDescent="0.35">
      <c r="A304" s="29" t="s">
        <v>27</v>
      </c>
      <c r="B304" s="33" t="s">
        <v>26</v>
      </c>
      <c r="C304" s="43">
        <v>35.996048000000002</v>
      </c>
      <c r="D304" s="43">
        <v>36.552387000000003</v>
      </c>
      <c r="E304" s="43">
        <v>37.122188999999999</v>
      </c>
      <c r="F304" s="43">
        <v>37.481971999999999</v>
      </c>
      <c r="G304" s="43">
        <v>37.768005000000002</v>
      </c>
      <c r="H304" s="43">
        <v>38.120697</v>
      </c>
      <c r="I304" s="43">
        <v>38.499229</v>
      </c>
      <c r="J304" s="43">
        <v>38.596062000000003</v>
      </c>
      <c r="K304" s="43">
        <v>38.647483999999999</v>
      </c>
      <c r="L304" s="43">
        <v>38.710861000000001</v>
      </c>
      <c r="M304" s="43">
        <v>38.780521</v>
      </c>
      <c r="N304" s="43">
        <v>38.846291000000001</v>
      </c>
      <c r="O304" s="43">
        <v>38.959994999999999</v>
      </c>
      <c r="P304" s="43">
        <v>39.074531999999998</v>
      </c>
      <c r="Q304" s="43">
        <v>39.175457000000002</v>
      </c>
      <c r="R304" s="43">
        <v>39.215012000000002</v>
      </c>
      <c r="S304" s="43">
        <v>39.252811000000001</v>
      </c>
      <c r="T304" s="43">
        <v>39.287888000000002</v>
      </c>
      <c r="U304" s="43">
        <v>39.331744999999998</v>
      </c>
      <c r="V304" s="43">
        <v>39.361794000000003</v>
      </c>
      <c r="W304" s="43">
        <v>39.391128999999999</v>
      </c>
      <c r="X304" s="43">
        <v>39.429363000000002</v>
      </c>
      <c r="Y304" s="43">
        <v>39.461742000000001</v>
      </c>
      <c r="Z304" s="43">
        <v>39.485518999999996</v>
      </c>
      <c r="AA304" s="43">
        <v>39.522922999999999</v>
      </c>
      <c r="AB304" s="43">
        <v>39.558459999999997</v>
      </c>
      <c r="AC304" s="43">
        <v>39.589770999999999</v>
      </c>
      <c r="AD304" s="43">
        <v>39.637543000000001</v>
      </c>
      <c r="AE304" s="43">
        <v>39.673462000000001</v>
      </c>
      <c r="AF304" s="43">
        <v>39.723788999999996</v>
      </c>
      <c r="AG304" s="43">
        <v>39.777209999999997</v>
      </c>
      <c r="AH304" s="43">
        <v>39.824241999999998</v>
      </c>
      <c r="AI304" s="35">
        <v>3.2659999999999998E-3</v>
      </c>
    </row>
    <row r="305" spans="2:35" ht="15" customHeight="1" thickBot="1" x14ac:dyDescent="0.4">
      <c r="B305" s="25"/>
      <c r="C305" s="25"/>
      <c r="D305" s="25"/>
      <c r="E305" s="25"/>
      <c r="F305" s="25"/>
      <c r="G305" s="25"/>
      <c r="H305" s="25"/>
      <c r="I305" s="25"/>
      <c r="J305" s="25"/>
      <c r="K305" s="25"/>
      <c r="L305" s="25"/>
      <c r="M305" s="25"/>
      <c r="N305" s="25"/>
      <c r="O305" s="25"/>
      <c r="P305" s="25"/>
      <c r="Q305" s="25"/>
      <c r="R305" s="25"/>
      <c r="S305" s="25"/>
      <c r="T305" s="25"/>
      <c r="U305" s="25"/>
      <c r="V305" s="25"/>
      <c r="W305" s="25"/>
      <c r="X305" s="25"/>
      <c r="Y305" s="25"/>
      <c r="Z305" s="25"/>
      <c r="AA305" s="25"/>
      <c r="AB305" s="25"/>
      <c r="AC305" s="25"/>
      <c r="AD305" s="25"/>
      <c r="AE305" s="25"/>
      <c r="AF305" s="25"/>
      <c r="AG305" s="25"/>
      <c r="AH305" s="25"/>
      <c r="AI305" s="25"/>
    </row>
    <row r="306" spans="2:35" ht="15" customHeight="1" x14ac:dyDescent="0.35">
      <c r="B306" s="197" t="s">
        <v>712</v>
      </c>
      <c r="C306" s="197"/>
      <c r="D306" s="197"/>
      <c r="E306" s="197"/>
      <c r="F306" s="197"/>
      <c r="G306" s="197"/>
      <c r="H306" s="197"/>
      <c r="I306" s="197"/>
      <c r="J306" s="197"/>
      <c r="K306" s="197"/>
      <c r="L306" s="197"/>
      <c r="M306" s="197"/>
      <c r="N306" s="197"/>
      <c r="O306" s="197"/>
      <c r="P306" s="197"/>
      <c r="Q306" s="197"/>
      <c r="R306" s="197"/>
      <c r="S306" s="197"/>
      <c r="T306" s="197"/>
      <c r="U306" s="197"/>
      <c r="V306" s="197"/>
      <c r="W306" s="197"/>
      <c r="X306" s="197"/>
      <c r="Y306" s="197"/>
      <c r="Z306" s="197"/>
      <c r="AA306" s="197"/>
      <c r="AB306" s="197"/>
      <c r="AC306" s="197"/>
      <c r="AD306" s="197"/>
      <c r="AE306" s="197"/>
      <c r="AF306" s="197"/>
      <c r="AG306" s="197"/>
      <c r="AH306" s="197"/>
      <c r="AI306" s="197"/>
    </row>
    <row r="307" spans="2:35" ht="15" customHeight="1" x14ac:dyDescent="0.35">
      <c r="B307" s="42" t="s">
        <v>713</v>
      </c>
      <c r="C307" s="25"/>
      <c r="D307" s="25"/>
      <c r="E307" s="25"/>
      <c r="F307" s="25"/>
      <c r="G307" s="25"/>
      <c r="H307" s="25"/>
      <c r="I307" s="25"/>
      <c r="J307" s="25"/>
      <c r="K307" s="25"/>
      <c r="L307" s="25"/>
      <c r="M307" s="25"/>
      <c r="N307" s="25"/>
      <c r="O307" s="25"/>
      <c r="P307" s="25"/>
      <c r="Q307" s="25"/>
      <c r="R307" s="25"/>
      <c r="S307" s="25"/>
      <c r="T307" s="25"/>
      <c r="U307" s="25"/>
      <c r="V307" s="25"/>
      <c r="W307" s="25"/>
      <c r="X307" s="25"/>
      <c r="Y307" s="25"/>
      <c r="Z307" s="25"/>
      <c r="AA307" s="25"/>
      <c r="AB307" s="25"/>
      <c r="AC307" s="25"/>
      <c r="AD307" s="25"/>
      <c r="AE307" s="25"/>
      <c r="AF307" s="25"/>
      <c r="AG307" s="25"/>
      <c r="AH307" s="25"/>
      <c r="AI307" s="25"/>
    </row>
    <row r="308" spans="2:35" ht="15" customHeight="1" x14ac:dyDescent="0.35">
      <c r="B308" s="42" t="s">
        <v>714</v>
      </c>
      <c r="C308" s="25"/>
      <c r="D308" s="25"/>
      <c r="E308" s="25"/>
      <c r="F308" s="25"/>
      <c r="G308" s="25"/>
      <c r="H308" s="25"/>
      <c r="I308" s="25"/>
      <c r="J308" s="25"/>
      <c r="K308" s="25"/>
      <c r="L308" s="25"/>
      <c r="M308" s="25"/>
      <c r="N308" s="25"/>
      <c r="O308" s="25"/>
      <c r="P308" s="25"/>
      <c r="Q308" s="25"/>
      <c r="R308" s="25"/>
      <c r="S308" s="25"/>
      <c r="T308" s="25"/>
      <c r="U308" s="25"/>
      <c r="V308" s="25"/>
      <c r="W308" s="25"/>
      <c r="X308" s="25"/>
      <c r="Y308" s="25"/>
      <c r="Z308" s="25"/>
      <c r="AA308" s="25"/>
      <c r="AB308" s="25"/>
      <c r="AC308" s="25"/>
      <c r="AD308" s="25"/>
      <c r="AE308" s="25"/>
      <c r="AF308" s="25"/>
      <c r="AG308" s="25"/>
      <c r="AH308" s="25"/>
      <c r="AI308" s="25"/>
    </row>
  </sheetData>
  <mergeCells count="1">
    <mergeCell ref="B306:AI306"/>
  </mergeCells>
  <pageMargins left="0.75" right="0.75" top="1" bottom="1" header="0.5" footer="0.5"/>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8"/>
  <dimension ref="A1:C14"/>
  <sheetViews>
    <sheetView workbookViewId="0">
      <selection activeCell="B5" sqref="B5"/>
    </sheetView>
  </sheetViews>
  <sheetFormatPr defaultRowHeight="14.5" x14ac:dyDescent="0.35"/>
  <cols>
    <col min="1" max="1" width="31.08984375" customWidth="1"/>
    <col min="2" max="2" width="20.6328125" customWidth="1"/>
    <col min="3" max="3" width="21.6328125" customWidth="1"/>
  </cols>
  <sheetData>
    <row r="1" spans="1:3" x14ac:dyDescent="0.35">
      <c r="A1" t="s">
        <v>256</v>
      </c>
    </row>
    <row r="2" spans="1:3" x14ac:dyDescent="0.35">
      <c r="A2" t="s">
        <v>257</v>
      </c>
    </row>
    <row r="4" spans="1:3" x14ac:dyDescent="0.35">
      <c r="A4" s="2" t="s">
        <v>258</v>
      </c>
      <c r="B4" s="10" t="s">
        <v>259</v>
      </c>
      <c r="C4" s="10" t="s">
        <v>260</v>
      </c>
    </row>
    <row r="5" spans="1:3" x14ac:dyDescent="0.35">
      <c r="A5" t="s">
        <v>261</v>
      </c>
      <c r="B5" s="9">
        <v>84000000</v>
      </c>
      <c r="C5" s="9">
        <v>41000000</v>
      </c>
    </row>
    <row r="6" spans="1:3" x14ac:dyDescent="0.35">
      <c r="A6" t="s">
        <v>262</v>
      </c>
      <c r="B6" s="9">
        <v>90000000</v>
      </c>
      <c r="C6" s="9">
        <v>45000000</v>
      </c>
    </row>
    <row r="7" spans="1:3" x14ac:dyDescent="0.35">
      <c r="A7" t="s">
        <v>263</v>
      </c>
      <c r="B7" s="9">
        <v>298000000</v>
      </c>
      <c r="C7" s="9">
        <v>149000000</v>
      </c>
    </row>
    <row r="8" spans="1:3" x14ac:dyDescent="0.35">
      <c r="A8" t="s">
        <v>264</v>
      </c>
      <c r="B8" s="9">
        <v>81000000</v>
      </c>
      <c r="C8" s="9">
        <v>30000000</v>
      </c>
    </row>
    <row r="9" spans="1:3" x14ac:dyDescent="0.35">
      <c r="A9" t="s">
        <v>265</v>
      </c>
      <c r="B9" s="9">
        <v>88000000</v>
      </c>
      <c r="C9" s="9">
        <v>40000000</v>
      </c>
    </row>
    <row r="10" spans="1:3" x14ac:dyDescent="0.35">
      <c r="A10" t="s">
        <v>266</v>
      </c>
      <c r="B10" s="9">
        <v>209000000</v>
      </c>
      <c r="C10" s="9">
        <v>84000000</v>
      </c>
    </row>
    <row r="12" spans="1:3" x14ac:dyDescent="0.35">
      <c r="A12" t="s">
        <v>267</v>
      </c>
    </row>
    <row r="13" spans="1:3" x14ac:dyDescent="0.35">
      <c r="A13" t="s">
        <v>268</v>
      </c>
    </row>
    <row r="14" spans="1:3" x14ac:dyDescent="0.35">
      <c r="A14" t="s">
        <v>269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1888F-956E-42F4-8798-939D25C13814}">
  <sheetPr codeName="Sheet4">
    <tabColor theme="7" tint="0.39997558519241921"/>
  </sheetPr>
  <dimension ref="A1:AW10"/>
  <sheetViews>
    <sheetView topLeftCell="T1" zoomScale="85" zoomScaleNormal="85" workbookViewId="0">
      <selection activeCell="D2" sqref="D2:AI2"/>
    </sheetView>
  </sheetViews>
  <sheetFormatPr defaultColWidth="8.7265625" defaultRowHeight="14.5" x14ac:dyDescent="0.35"/>
  <cols>
    <col min="1" max="1" width="35.54296875" style="74" bestFit="1" customWidth="1"/>
    <col min="2" max="10" width="11.7265625" style="74" bestFit="1" customWidth="1"/>
    <col min="11" max="11" width="10.81640625" style="74" bestFit="1" customWidth="1"/>
    <col min="12" max="23" width="11.7265625" style="74" bestFit="1" customWidth="1"/>
    <col min="24" max="24" width="10.81640625" style="74" bestFit="1" customWidth="1"/>
    <col min="25" max="35" width="11.7265625" style="74" bestFit="1" customWidth="1"/>
    <col min="36" max="16384" width="8.7265625" style="74"/>
  </cols>
  <sheetData>
    <row r="1" spans="1:49" x14ac:dyDescent="0.35">
      <c r="B1" s="101">
        <v>2017</v>
      </c>
      <c r="C1" s="101">
        <f>B1+1</f>
        <v>2018</v>
      </c>
      <c r="D1" s="101">
        <f t="shared" ref="D1:O1" si="0">C1+1</f>
        <v>2019</v>
      </c>
      <c r="E1" s="101">
        <f t="shared" si="0"/>
        <v>2020</v>
      </c>
      <c r="F1" s="101">
        <f t="shared" si="0"/>
        <v>2021</v>
      </c>
      <c r="G1" s="101">
        <f t="shared" si="0"/>
        <v>2022</v>
      </c>
      <c r="H1" s="101">
        <f t="shared" si="0"/>
        <v>2023</v>
      </c>
      <c r="I1" s="101">
        <f t="shared" si="0"/>
        <v>2024</v>
      </c>
      <c r="J1" s="101">
        <f t="shared" si="0"/>
        <v>2025</v>
      </c>
      <c r="K1" s="101">
        <f t="shared" si="0"/>
        <v>2026</v>
      </c>
      <c r="L1" s="101">
        <f t="shared" si="0"/>
        <v>2027</v>
      </c>
      <c r="M1" s="101">
        <f t="shared" si="0"/>
        <v>2028</v>
      </c>
      <c r="N1" s="101">
        <f t="shared" si="0"/>
        <v>2029</v>
      </c>
      <c r="O1" s="101">
        <f t="shared" si="0"/>
        <v>2030</v>
      </c>
      <c r="P1" s="101">
        <f t="shared" ref="P1:AI1" si="1">O1+1</f>
        <v>2031</v>
      </c>
      <c r="Q1" s="101">
        <f t="shared" si="1"/>
        <v>2032</v>
      </c>
      <c r="R1" s="101">
        <f t="shared" si="1"/>
        <v>2033</v>
      </c>
      <c r="S1" s="101">
        <f t="shared" si="1"/>
        <v>2034</v>
      </c>
      <c r="T1" s="101">
        <f t="shared" si="1"/>
        <v>2035</v>
      </c>
      <c r="U1" s="101">
        <f t="shared" si="1"/>
        <v>2036</v>
      </c>
      <c r="V1" s="101">
        <f t="shared" si="1"/>
        <v>2037</v>
      </c>
      <c r="W1" s="101">
        <f t="shared" si="1"/>
        <v>2038</v>
      </c>
      <c r="X1" s="101">
        <f t="shared" si="1"/>
        <v>2039</v>
      </c>
      <c r="Y1" s="101">
        <f t="shared" si="1"/>
        <v>2040</v>
      </c>
      <c r="Z1" s="101">
        <f t="shared" si="1"/>
        <v>2041</v>
      </c>
      <c r="AA1" s="101">
        <f t="shared" si="1"/>
        <v>2042</v>
      </c>
      <c r="AB1" s="101">
        <f t="shared" si="1"/>
        <v>2043</v>
      </c>
      <c r="AC1" s="101">
        <f t="shared" si="1"/>
        <v>2044</v>
      </c>
      <c r="AD1" s="101">
        <f t="shared" si="1"/>
        <v>2045</v>
      </c>
      <c r="AE1" s="101">
        <f t="shared" si="1"/>
        <v>2046</v>
      </c>
      <c r="AF1" s="101">
        <f t="shared" si="1"/>
        <v>2047</v>
      </c>
      <c r="AG1" s="101">
        <f t="shared" si="1"/>
        <v>2048</v>
      </c>
      <c r="AH1" s="101">
        <f t="shared" si="1"/>
        <v>2049</v>
      </c>
      <c r="AI1" s="101">
        <f t="shared" si="1"/>
        <v>2050</v>
      </c>
    </row>
    <row r="2" spans="1:49" x14ac:dyDescent="0.35">
      <c r="A2" s="1" t="s">
        <v>776</v>
      </c>
      <c r="B2" s="138">
        <f>B3+B4</f>
        <v>40944.323169508672</v>
      </c>
      <c r="C2" s="138">
        <f t="shared" ref="C2:D2" si="2">C3+C4</f>
        <v>37825.404785190993</v>
      </c>
      <c r="D2" s="138">
        <f t="shared" si="2"/>
        <v>36183.868793444846</v>
      </c>
      <c r="E2" s="138">
        <f t="shared" ref="E2" si="3">E3+E4</f>
        <v>34927.187396140122</v>
      </c>
      <c r="F2" s="138">
        <f t="shared" ref="F2" si="4">F3+F4</f>
        <v>34218.081459372537</v>
      </c>
      <c r="G2" s="138">
        <f t="shared" ref="G2" si="5">G3+G4</f>
        <v>33745.184544797448</v>
      </c>
      <c r="H2" s="138">
        <f t="shared" ref="H2" si="6">H3+H4</f>
        <v>33576.92130475273</v>
      </c>
      <c r="I2" s="138">
        <f t="shared" ref="I2" si="7">I3+I4</f>
        <v>33492.100716463181</v>
      </c>
      <c r="J2" s="138">
        <f t="shared" ref="J2" si="8">J3+J4</f>
        <v>33383.098867088178</v>
      </c>
      <c r="K2" s="138">
        <f t="shared" ref="K2" si="9">K3+K4</f>
        <v>33195.740244753644</v>
      </c>
      <c r="L2" s="138">
        <f t="shared" ref="L2" si="10">L3+L4</f>
        <v>33014.60043397118</v>
      </c>
      <c r="M2" s="138">
        <f t="shared" ref="M2" si="11">M3+M4</f>
        <v>32845.80541091456</v>
      </c>
      <c r="N2" s="138">
        <f t="shared" ref="N2" si="12">N3+N4</f>
        <v>32691.821199679653</v>
      </c>
      <c r="O2" s="138">
        <f t="shared" ref="O2:P2" si="13">O3+O4</f>
        <v>32554.530428980157</v>
      </c>
      <c r="P2" s="138">
        <f t="shared" si="13"/>
        <v>32452.843961146293</v>
      </c>
      <c r="Q2" s="138">
        <f t="shared" ref="Q2" si="14">Q3+Q4</f>
        <v>32328.892340511025</v>
      </c>
      <c r="R2" s="138">
        <f t="shared" ref="R2" si="15">R3+R4</f>
        <v>32243.005824566419</v>
      </c>
      <c r="S2" s="138">
        <f t="shared" ref="S2" si="16">S3+S4</f>
        <v>32161.248986629507</v>
      </c>
      <c r="T2" s="138">
        <f t="shared" ref="T2" si="17">T3+T4</f>
        <v>32092.73089123112</v>
      </c>
      <c r="U2" s="138">
        <f t="shared" ref="U2" si="18">U3+U4</f>
        <v>32033.166580308876</v>
      </c>
      <c r="V2" s="138">
        <f t="shared" ref="V2" si="19">V3+V4</f>
        <v>31981.487538554757</v>
      </c>
      <c r="W2" s="138">
        <f t="shared" ref="W2" si="20">W3+W4</f>
        <v>31937.861960290116</v>
      </c>
      <c r="X2" s="138">
        <f t="shared" ref="X2" si="21">X3+X4</f>
        <v>31896.772490106228</v>
      </c>
      <c r="Y2" s="138">
        <f t="shared" ref="Y2" si="22">Y3+Y4</f>
        <v>31863.370004071934</v>
      </c>
      <c r="Z2" s="138">
        <f t="shared" ref="Z2" si="23">Z3+Z4</f>
        <v>31831.445119607022</v>
      </c>
      <c r="AA2" s="138">
        <f t="shared" ref="AA2" si="24">AA3+AA4</f>
        <v>31802.865415992492</v>
      </c>
      <c r="AB2" s="138">
        <f t="shared" ref="AB2" si="25">AB3+AB4</f>
        <v>31778.844675650042</v>
      </c>
      <c r="AC2" s="138">
        <f t="shared" ref="AC2" si="26">AC3+AC4</f>
        <v>31755.403254508365</v>
      </c>
      <c r="AD2" s="138">
        <f t="shared" ref="AD2" si="27">AD3+AD4</f>
        <v>31733.586177712874</v>
      </c>
      <c r="AE2" s="138">
        <f t="shared" ref="AE2" si="28">AE3+AE4</f>
        <v>31714.46196005409</v>
      </c>
      <c r="AF2" s="138">
        <f t="shared" ref="AF2" si="29">AF3+AF4</f>
        <v>31695.280741065253</v>
      </c>
      <c r="AG2" s="138">
        <f t="shared" ref="AG2" si="30">AG3+AG4</f>
        <v>31677.64534283994</v>
      </c>
      <c r="AH2" s="138">
        <f t="shared" ref="AH2" si="31">AH3+AH4</f>
        <v>31662.265383619007</v>
      </c>
      <c r="AI2" s="138">
        <f t="shared" ref="AI2" si="32">AI3+AI4</f>
        <v>31648.141297942053</v>
      </c>
      <c r="AJ2" s="68"/>
      <c r="AK2" s="68"/>
      <c r="AL2" s="68"/>
      <c r="AM2" s="68"/>
      <c r="AN2" s="68"/>
      <c r="AO2" s="68"/>
      <c r="AP2" s="68"/>
      <c r="AQ2" s="68"/>
      <c r="AR2" s="68"/>
      <c r="AS2" s="68"/>
      <c r="AT2" s="68"/>
      <c r="AU2" s="68"/>
      <c r="AV2" s="68"/>
      <c r="AW2" s="68"/>
    </row>
    <row r="3" spans="1:49" x14ac:dyDescent="0.35">
      <c r="A3" s="1" t="s">
        <v>858</v>
      </c>
      <c r="B3" s="154">
        <f>C3</f>
        <v>23379.888057824886</v>
      </c>
      <c r="C3" s="154">
        <f>'LDV psg EV specs'!B86</f>
        <v>23379.888057824886</v>
      </c>
      <c r="D3" s="154">
        <f>'LDV psg EV specs'!C86</f>
        <v>23379.888057824886</v>
      </c>
      <c r="E3" s="154">
        <f>'LDV psg EV specs'!D86</f>
        <v>23379.888057824886</v>
      </c>
      <c r="F3" s="154">
        <f>'LDV psg EV specs'!E86</f>
        <v>23379.888057824886</v>
      </c>
      <c r="G3" s="154">
        <f>'LDV psg EV specs'!F86</f>
        <v>23379.888057824886</v>
      </c>
      <c r="H3" s="154">
        <f>'LDV psg EV specs'!G86</f>
        <v>23518.877860586454</v>
      </c>
      <c r="I3" s="154">
        <f>'LDV psg EV specs'!H86</f>
        <v>23670.478706238991</v>
      </c>
      <c r="J3" s="154">
        <f>'LDV psg EV specs'!I86</f>
        <v>23764.588707276147</v>
      </c>
      <c r="K3" s="154">
        <f>$J$3</f>
        <v>23764.588707276147</v>
      </c>
      <c r="L3" s="154">
        <f t="shared" ref="L3:AI3" si="33">$J$3</f>
        <v>23764.588707276147</v>
      </c>
      <c r="M3" s="154">
        <f t="shared" si="33"/>
        <v>23764.588707276147</v>
      </c>
      <c r="N3" s="154">
        <f t="shared" si="33"/>
        <v>23764.588707276147</v>
      </c>
      <c r="O3" s="154">
        <f t="shared" si="33"/>
        <v>23764.588707276147</v>
      </c>
      <c r="P3" s="154">
        <f t="shared" si="33"/>
        <v>23764.588707276147</v>
      </c>
      <c r="Q3" s="154">
        <f t="shared" si="33"/>
        <v>23764.588707276147</v>
      </c>
      <c r="R3" s="154">
        <f t="shared" si="33"/>
        <v>23764.588707276147</v>
      </c>
      <c r="S3" s="154">
        <f t="shared" si="33"/>
        <v>23764.588707276147</v>
      </c>
      <c r="T3" s="154">
        <f t="shared" si="33"/>
        <v>23764.588707276147</v>
      </c>
      <c r="U3" s="154">
        <f t="shared" si="33"/>
        <v>23764.588707276147</v>
      </c>
      <c r="V3" s="154">
        <f t="shared" si="33"/>
        <v>23764.588707276147</v>
      </c>
      <c r="W3" s="154">
        <f t="shared" si="33"/>
        <v>23764.588707276147</v>
      </c>
      <c r="X3" s="154">
        <f t="shared" si="33"/>
        <v>23764.588707276147</v>
      </c>
      <c r="Y3" s="154">
        <f t="shared" si="33"/>
        <v>23764.588707276147</v>
      </c>
      <c r="Z3" s="154">
        <f t="shared" si="33"/>
        <v>23764.588707276147</v>
      </c>
      <c r="AA3" s="154">
        <f t="shared" si="33"/>
        <v>23764.588707276147</v>
      </c>
      <c r="AB3" s="154">
        <f t="shared" si="33"/>
        <v>23764.588707276147</v>
      </c>
      <c r="AC3" s="154">
        <f t="shared" si="33"/>
        <v>23764.588707276147</v>
      </c>
      <c r="AD3" s="154">
        <f t="shared" si="33"/>
        <v>23764.588707276147</v>
      </c>
      <c r="AE3" s="154">
        <f t="shared" si="33"/>
        <v>23764.588707276147</v>
      </c>
      <c r="AF3" s="154">
        <f t="shared" si="33"/>
        <v>23764.588707276147</v>
      </c>
      <c r="AG3" s="154">
        <f t="shared" si="33"/>
        <v>23764.588707276147</v>
      </c>
      <c r="AH3" s="154">
        <f t="shared" si="33"/>
        <v>23764.588707276147</v>
      </c>
      <c r="AI3" s="154">
        <f t="shared" si="33"/>
        <v>23764.588707276147</v>
      </c>
      <c r="AJ3" s="77"/>
      <c r="AK3" s="77"/>
      <c r="AL3" s="77"/>
      <c r="AM3" s="77"/>
      <c r="AN3" s="77"/>
      <c r="AO3" s="77"/>
      <c r="AP3" s="77"/>
      <c r="AQ3" s="77"/>
      <c r="AR3" s="77"/>
      <c r="AS3" s="77"/>
      <c r="AT3" s="77"/>
      <c r="AU3" s="77"/>
      <c r="AV3" s="77"/>
      <c r="AW3" s="77"/>
    </row>
    <row r="4" spans="1:49" x14ac:dyDescent="0.35">
      <c r="A4" s="1" t="s">
        <v>857</v>
      </c>
      <c r="B4" s="138">
        <f>'LDV psg battery'!B73</f>
        <v>17564.43511168379</v>
      </c>
      <c r="C4" s="138">
        <f>'LDV psg battery'!C73</f>
        <v>14445.516727366106</v>
      </c>
      <c r="D4" s="138">
        <f>'LDV psg battery'!D73</f>
        <v>12803.980735619958</v>
      </c>
      <c r="E4" s="138">
        <f>'LDV psg battery'!E73</f>
        <v>11547.299338315235</v>
      </c>
      <c r="F4" s="138">
        <f>'LDV psg battery'!F73</f>
        <v>10838.193401547653</v>
      </c>
      <c r="G4" s="138">
        <f>'LDV psg battery'!G73</f>
        <v>10365.29648697256</v>
      </c>
      <c r="H4" s="138">
        <f>'LDV psg battery'!H73</f>
        <v>10058.043444166278</v>
      </c>
      <c r="I4" s="138">
        <f>'LDV psg battery'!I73</f>
        <v>9821.6220102241914</v>
      </c>
      <c r="J4" s="138">
        <f>'LDV psg battery'!J73</f>
        <v>9618.5101598120345</v>
      </c>
      <c r="K4" s="138">
        <f>'LDV psg battery'!K73</f>
        <v>9431.1515374775008</v>
      </c>
      <c r="L4" s="138">
        <f>'LDV psg battery'!L73</f>
        <v>9250.0117266950328</v>
      </c>
      <c r="M4" s="138">
        <f>'LDV psg battery'!M73</f>
        <v>9081.2167036384108</v>
      </c>
      <c r="N4" s="138">
        <f>'LDV psg battery'!N73</f>
        <v>8927.2324924035056</v>
      </c>
      <c r="O4" s="138">
        <f>'LDV psg battery'!O73</f>
        <v>8789.9417217040082</v>
      </c>
      <c r="P4" s="138">
        <f>'LDV psg battery'!P73</f>
        <v>8688.2552538701457</v>
      </c>
      <c r="Q4" s="138">
        <f>'LDV psg battery'!Q73</f>
        <v>8564.3036332348784</v>
      </c>
      <c r="R4" s="138">
        <f>'LDV psg battery'!R73</f>
        <v>8478.4171172902697</v>
      </c>
      <c r="S4" s="138">
        <f>'LDV psg battery'!S73</f>
        <v>8396.6602793533584</v>
      </c>
      <c r="T4" s="138">
        <f>'LDV psg battery'!T73</f>
        <v>8328.1421839549712</v>
      </c>
      <c r="U4" s="138">
        <f>'LDV psg battery'!U73</f>
        <v>8268.5778730327311</v>
      </c>
      <c r="V4" s="138">
        <f>'LDV psg battery'!V73</f>
        <v>8216.8988312786096</v>
      </c>
      <c r="W4" s="138">
        <f>'LDV psg battery'!W73</f>
        <v>8173.2732530139692</v>
      </c>
      <c r="X4" s="138">
        <f>'LDV psg battery'!X73</f>
        <v>8132.1837828300804</v>
      </c>
      <c r="Y4" s="138">
        <f>'LDV psg battery'!Y73</f>
        <v>8098.7812967957871</v>
      </c>
      <c r="Z4" s="138">
        <f>'LDV psg battery'!Z73</f>
        <v>8066.8564123308734</v>
      </c>
      <c r="AA4" s="138">
        <f>'LDV psg battery'!AA73</f>
        <v>8038.2767087163438</v>
      </c>
      <c r="AB4" s="138">
        <f>'LDV psg battery'!AB73</f>
        <v>8014.2559683738964</v>
      </c>
      <c r="AC4" s="138">
        <f>'LDV psg battery'!AC73</f>
        <v>7990.8145472322185</v>
      </c>
      <c r="AD4" s="138">
        <f>'LDV psg battery'!AD73</f>
        <v>7968.997470436726</v>
      </c>
      <c r="AE4" s="138">
        <f>'LDV psg battery'!AE73</f>
        <v>7949.8732527779439</v>
      </c>
      <c r="AF4" s="138">
        <f>'LDV psg battery'!AF73</f>
        <v>7930.692033789107</v>
      </c>
      <c r="AG4" s="138">
        <f>'LDV psg battery'!AG73</f>
        <v>7913.0566355637948</v>
      </c>
      <c r="AH4" s="138">
        <f>'LDV psg battery'!AH73</f>
        <v>7897.6766763428604</v>
      </c>
      <c r="AI4" s="138">
        <f>'LDV psg battery'!AI73</f>
        <v>7883.552590665905</v>
      </c>
      <c r="AJ4" s="78"/>
      <c r="AK4" s="78"/>
      <c r="AL4" s="78"/>
      <c r="AM4" s="78"/>
      <c r="AN4" s="78"/>
      <c r="AO4" s="78"/>
      <c r="AP4" s="78"/>
      <c r="AQ4" s="78"/>
      <c r="AR4" s="78"/>
      <c r="AS4" s="78"/>
      <c r="AT4" s="78"/>
      <c r="AU4" s="78"/>
      <c r="AV4" s="78"/>
      <c r="AW4" s="78"/>
    </row>
    <row r="5" spans="1:49" x14ac:dyDescent="0.35">
      <c r="B5" s="138"/>
      <c r="C5" s="138"/>
      <c r="D5" s="158"/>
      <c r="E5" s="138"/>
      <c r="F5" s="138"/>
      <c r="G5" s="138"/>
      <c r="H5" s="138"/>
      <c r="I5" s="138"/>
      <c r="J5" s="138"/>
      <c r="K5" s="138"/>
      <c r="L5" s="138"/>
      <c r="M5" s="138"/>
      <c r="N5" s="138"/>
      <c r="O5" s="138"/>
      <c r="P5" s="138"/>
      <c r="Q5" s="138"/>
      <c r="R5" s="138"/>
      <c r="S5" s="138"/>
      <c r="T5" s="138"/>
      <c r="U5" s="138"/>
      <c r="V5" s="138"/>
      <c r="W5" s="138"/>
      <c r="X5" s="138"/>
      <c r="Y5" s="138"/>
      <c r="Z5" s="138"/>
      <c r="AA5" s="138"/>
      <c r="AB5" s="138"/>
      <c r="AC5" s="138"/>
      <c r="AD5" s="138"/>
      <c r="AE5" s="138"/>
      <c r="AF5" s="138"/>
      <c r="AG5" s="138"/>
      <c r="AH5" s="138"/>
      <c r="AI5" s="138"/>
    </row>
    <row r="6" spans="1:49" x14ac:dyDescent="0.35">
      <c r="B6" s="138"/>
      <c r="C6" s="138"/>
      <c r="D6" s="138"/>
      <c r="E6" s="138"/>
      <c r="F6" s="138"/>
      <c r="G6" s="138"/>
      <c r="H6" s="138"/>
      <c r="I6" s="138"/>
      <c r="J6" s="138"/>
      <c r="K6" s="138"/>
      <c r="L6" s="138"/>
      <c r="M6" s="138"/>
      <c r="N6" s="138"/>
      <c r="O6" s="138"/>
      <c r="P6" s="138"/>
      <c r="Q6" s="138"/>
      <c r="R6" s="138"/>
      <c r="S6" s="138"/>
      <c r="T6" s="138"/>
      <c r="U6" s="138"/>
      <c r="V6" s="138"/>
      <c r="W6" s="138"/>
      <c r="X6" s="138"/>
      <c r="Y6" s="138"/>
      <c r="Z6" s="138"/>
      <c r="AA6" s="138"/>
      <c r="AB6" s="138"/>
      <c r="AC6" s="138"/>
      <c r="AD6" s="138"/>
      <c r="AE6" s="138"/>
      <c r="AF6" s="138"/>
      <c r="AG6" s="138"/>
      <c r="AH6" s="138"/>
      <c r="AI6" s="138"/>
    </row>
    <row r="7" spans="1:49" x14ac:dyDescent="0.35">
      <c r="A7" s="1" t="s">
        <v>862</v>
      </c>
      <c r="B7" s="138">
        <f>B8+B9+B10</f>
        <v>42081.017409323584</v>
      </c>
      <c r="C7" s="138">
        <f t="shared" ref="C7:AI7" si="34">C8+C9+C10</f>
        <v>40955.369035310316</v>
      </c>
      <c r="D7" s="138">
        <f t="shared" si="34"/>
        <v>40362.922522671761</v>
      </c>
      <c r="E7" s="138">
        <f t="shared" si="34"/>
        <v>39909.37382494325</v>
      </c>
      <c r="F7" s="138">
        <f t="shared" si="34"/>
        <v>39653.45050590449</v>
      </c>
      <c r="G7" s="138">
        <f t="shared" si="34"/>
        <v>39640.922613035487</v>
      </c>
      <c r="H7" s="138">
        <f t="shared" si="34"/>
        <v>39558.244259601619</v>
      </c>
      <c r="I7" s="138">
        <f t="shared" si="34"/>
        <v>39485.89450869296</v>
      </c>
      <c r="J7" s="138">
        <f t="shared" si="34"/>
        <v>39414.951555684318</v>
      </c>
      <c r="K7" s="138">
        <f t="shared" si="34"/>
        <v>39344.981735979869</v>
      </c>
      <c r="L7" s="138">
        <f t="shared" si="34"/>
        <v>39277.685978668502</v>
      </c>
      <c r="M7" s="138">
        <f t="shared" si="34"/>
        <v>39216.817324597738</v>
      </c>
      <c r="N7" s="138">
        <f t="shared" si="34"/>
        <v>39157.877667284003</v>
      </c>
      <c r="O7" s="138">
        <f t="shared" si="34"/>
        <v>39070.666234989498</v>
      </c>
      <c r="P7" s="138">
        <f t="shared" si="34"/>
        <v>39027.742767488227</v>
      </c>
      <c r="Q7" s="138">
        <f t="shared" si="34"/>
        <v>38978.356218798748</v>
      </c>
      <c r="R7" s="138">
        <f t="shared" si="34"/>
        <v>38940.84915932329</v>
      </c>
      <c r="S7" s="138">
        <f t="shared" si="34"/>
        <v>38909.169512530454</v>
      </c>
      <c r="T7" s="138">
        <f t="shared" si="34"/>
        <v>38882.311672345757</v>
      </c>
      <c r="U7" s="138">
        <f t="shared" si="34"/>
        <v>38859.561695374818</v>
      </c>
      <c r="V7" s="138">
        <f t="shared" si="34"/>
        <v>38838.196906415506</v>
      </c>
      <c r="W7" s="138">
        <f t="shared" si="34"/>
        <v>38822.787957370005</v>
      </c>
      <c r="X7" s="138">
        <f t="shared" si="34"/>
        <v>38806.657474223044</v>
      </c>
      <c r="Y7" s="138">
        <f t="shared" si="34"/>
        <v>38794.291856659809</v>
      </c>
      <c r="Z7" s="138">
        <f t="shared" si="34"/>
        <v>38784.326054878497</v>
      </c>
      <c r="AA7" s="138">
        <f t="shared" si="34"/>
        <v>38773.856328101305</v>
      </c>
      <c r="AB7" s="138">
        <f t="shared" si="34"/>
        <v>38764.957760834433</v>
      </c>
      <c r="AC7" s="138">
        <f t="shared" si="34"/>
        <v>38757.769434569374</v>
      </c>
      <c r="AD7" s="138">
        <f t="shared" si="34"/>
        <v>38750.628210578332</v>
      </c>
      <c r="AE7" s="138">
        <f t="shared" si="34"/>
        <v>38745.662433897043</v>
      </c>
      <c r="AF7" s="138">
        <f t="shared" si="34"/>
        <v>38742.267273463607</v>
      </c>
      <c r="AG7" s="138">
        <f t="shared" si="34"/>
        <v>38739.045702904696</v>
      </c>
      <c r="AH7" s="138">
        <f t="shared" si="34"/>
        <v>38736.011479617482</v>
      </c>
      <c r="AI7" s="138">
        <f t="shared" si="34"/>
        <v>38739.045702904696</v>
      </c>
    </row>
    <row r="8" spans="1:49" x14ac:dyDescent="0.35">
      <c r="A8" s="1" t="s">
        <v>1219</v>
      </c>
      <c r="B8" s="138">
        <f>'LDV psg gasoline'!$D$3</f>
        <v>32292.839724090984</v>
      </c>
      <c r="C8" s="138">
        <f>'LDV psg gasoline'!$D$3</f>
        <v>32292.839724090984</v>
      </c>
      <c r="D8" s="138">
        <f>'LDV psg gasoline'!$D$3</f>
        <v>32292.839724090984</v>
      </c>
      <c r="E8" s="138">
        <f>'LDV psg gasoline'!$D$3</f>
        <v>32292.839724090984</v>
      </c>
      <c r="F8" s="138">
        <f>'LDV psg gasoline'!$D$3</f>
        <v>32292.839724090984</v>
      </c>
      <c r="G8" s="138">
        <f>'LDV psg gasoline'!$D$3</f>
        <v>32292.839724090984</v>
      </c>
      <c r="H8" s="138">
        <f>'LDV psg gasoline'!$D$3</f>
        <v>32292.839724090984</v>
      </c>
      <c r="I8" s="138">
        <f>'LDV psg gasoline'!$D$3</f>
        <v>32292.839724090984</v>
      </c>
      <c r="J8" s="138">
        <f>'LDV psg gasoline'!$D$3</f>
        <v>32292.839724090984</v>
      </c>
      <c r="K8" s="138">
        <f>'LDV psg gasoline'!$D$3</f>
        <v>32292.839724090984</v>
      </c>
      <c r="L8" s="138">
        <f>'LDV psg gasoline'!$D$3</f>
        <v>32292.839724090984</v>
      </c>
      <c r="M8" s="138">
        <f>'LDV psg gasoline'!$D$3</f>
        <v>32292.839724090984</v>
      </c>
      <c r="N8" s="138">
        <f>'LDV psg gasoline'!$D$3</f>
        <v>32292.839724090984</v>
      </c>
      <c r="O8" s="138">
        <f>'LDV psg gasoline'!$D$3</f>
        <v>32292.839724090984</v>
      </c>
      <c r="P8" s="138">
        <f>'LDV psg gasoline'!$D$3</f>
        <v>32292.839724090984</v>
      </c>
      <c r="Q8" s="138">
        <f>'LDV psg gasoline'!$D$3</f>
        <v>32292.839724090984</v>
      </c>
      <c r="R8" s="138">
        <f>'LDV psg gasoline'!$D$3</f>
        <v>32292.839724090984</v>
      </c>
      <c r="S8" s="138">
        <f>'LDV psg gasoline'!$D$3</f>
        <v>32292.839724090984</v>
      </c>
      <c r="T8" s="138">
        <f>'LDV psg gasoline'!$D$3</f>
        <v>32292.839724090984</v>
      </c>
      <c r="U8" s="138">
        <f>'LDV psg gasoline'!$D$3</f>
        <v>32292.839724090984</v>
      </c>
      <c r="V8" s="138">
        <f>'LDV psg gasoline'!$D$3</f>
        <v>32292.839724090984</v>
      </c>
      <c r="W8" s="138">
        <f>'LDV psg gasoline'!$D$3</f>
        <v>32292.839724090984</v>
      </c>
      <c r="X8" s="138">
        <f>'LDV psg gasoline'!$D$3</f>
        <v>32292.839724090984</v>
      </c>
      <c r="Y8" s="138">
        <f>'LDV psg gasoline'!$D$3</f>
        <v>32292.839724090984</v>
      </c>
      <c r="Z8" s="138">
        <f>'LDV psg gasoline'!$D$3</f>
        <v>32292.839724090984</v>
      </c>
      <c r="AA8" s="138">
        <f>'LDV psg gasoline'!$D$3</f>
        <v>32292.839724090984</v>
      </c>
      <c r="AB8" s="138">
        <f>'LDV psg gasoline'!$D$3</f>
        <v>32292.839724090984</v>
      </c>
      <c r="AC8" s="138">
        <f>'LDV psg gasoline'!$D$3</f>
        <v>32292.839724090984</v>
      </c>
      <c r="AD8" s="138">
        <f>'LDV psg gasoline'!$D$3</f>
        <v>32292.839724090984</v>
      </c>
      <c r="AE8" s="138">
        <f>'LDV psg gasoline'!$D$3</f>
        <v>32292.839724090984</v>
      </c>
      <c r="AF8" s="138">
        <f>'LDV psg gasoline'!$D$3</f>
        <v>32292.839724090984</v>
      </c>
      <c r="AG8" s="138">
        <f>'LDV psg gasoline'!$D$3</f>
        <v>32292.839724090984</v>
      </c>
      <c r="AH8" s="138">
        <f>'LDV psg gasoline'!$D$3</f>
        <v>32292.839724090984</v>
      </c>
      <c r="AI8" s="138">
        <f>'LDV psg gasoline'!$D$3</f>
        <v>32292.839724090984</v>
      </c>
    </row>
    <row r="9" spans="1:49" x14ac:dyDescent="0.35">
      <c r="A9" s="1" t="s">
        <v>1220</v>
      </c>
      <c r="B9" s="138">
        <f>'LDV psg EV specs'!B51</f>
        <v>3449</v>
      </c>
      <c r="C9" s="138">
        <f>$B$9</f>
        <v>3449</v>
      </c>
      <c r="D9" s="138">
        <f t="shared" ref="D9:AI9" si="35">$B$9</f>
        <v>3449</v>
      </c>
      <c r="E9" s="138">
        <f t="shared" si="35"/>
        <v>3449</v>
      </c>
      <c r="F9" s="138">
        <f t="shared" si="35"/>
        <v>3449</v>
      </c>
      <c r="G9" s="138">
        <f t="shared" si="35"/>
        <v>3449</v>
      </c>
      <c r="H9" s="138">
        <f t="shared" si="35"/>
        <v>3449</v>
      </c>
      <c r="I9" s="138">
        <f t="shared" si="35"/>
        <v>3449</v>
      </c>
      <c r="J9" s="138">
        <f t="shared" si="35"/>
        <v>3449</v>
      </c>
      <c r="K9" s="138">
        <f t="shared" si="35"/>
        <v>3449</v>
      </c>
      <c r="L9" s="138">
        <f t="shared" si="35"/>
        <v>3449</v>
      </c>
      <c r="M9" s="138">
        <f t="shared" si="35"/>
        <v>3449</v>
      </c>
      <c r="N9" s="138">
        <f t="shared" si="35"/>
        <v>3449</v>
      </c>
      <c r="O9" s="138">
        <f t="shared" si="35"/>
        <v>3449</v>
      </c>
      <c r="P9" s="138">
        <f t="shared" si="35"/>
        <v>3449</v>
      </c>
      <c r="Q9" s="138">
        <f t="shared" si="35"/>
        <v>3449</v>
      </c>
      <c r="R9" s="138">
        <f t="shared" si="35"/>
        <v>3449</v>
      </c>
      <c r="S9" s="138">
        <f t="shared" si="35"/>
        <v>3449</v>
      </c>
      <c r="T9" s="138">
        <f t="shared" si="35"/>
        <v>3449</v>
      </c>
      <c r="U9" s="138">
        <f t="shared" si="35"/>
        <v>3449</v>
      </c>
      <c r="V9" s="138">
        <f t="shared" si="35"/>
        <v>3449</v>
      </c>
      <c r="W9" s="138">
        <f t="shared" si="35"/>
        <v>3449</v>
      </c>
      <c r="X9" s="138">
        <f t="shared" si="35"/>
        <v>3449</v>
      </c>
      <c r="Y9" s="138">
        <f t="shared" si="35"/>
        <v>3449</v>
      </c>
      <c r="Z9" s="138">
        <f t="shared" si="35"/>
        <v>3449</v>
      </c>
      <c r="AA9" s="138">
        <f t="shared" si="35"/>
        <v>3449</v>
      </c>
      <c r="AB9" s="138">
        <f t="shared" si="35"/>
        <v>3449</v>
      </c>
      <c r="AC9" s="138">
        <f t="shared" si="35"/>
        <v>3449</v>
      </c>
      <c r="AD9" s="138">
        <f t="shared" si="35"/>
        <v>3449</v>
      </c>
      <c r="AE9" s="138">
        <f t="shared" si="35"/>
        <v>3449</v>
      </c>
      <c r="AF9" s="138">
        <f t="shared" si="35"/>
        <v>3449</v>
      </c>
      <c r="AG9" s="138">
        <f t="shared" si="35"/>
        <v>3449</v>
      </c>
      <c r="AH9" s="138">
        <f t="shared" si="35"/>
        <v>3449</v>
      </c>
      <c r="AI9" s="138">
        <f t="shared" si="35"/>
        <v>3449</v>
      </c>
    </row>
    <row r="10" spans="1:49" x14ac:dyDescent="0.35">
      <c r="A10" s="1" t="s">
        <v>863</v>
      </c>
      <c r="B10" s="138">
        <f>'LDV psg battery'!B78</f>
        <v>6339.1776852326011</v>
      </c>
      <c r="C10" s="138">
        <f>'LDV psg battery'!C78</f>
        <v>5213.5293112193358</v>
      </c>
      <c r="D10" s="138">
        <f>'LDV psg battery'!D78</f>
        <v>4621.0827985807746</v>
      </c>
      <c r="E10" s="138">
        <f>'LDV psg battery'!E78</f>
        <v>4167.5341008522682</v>
      </c>
      <c r="F10" s="138">
        <f>'LDV psg battery'!F78</f>
        <v>3911.6107818135097</v>
      </c>
      <c r="G10" s="138">
        <f>'LDV psg battery'!G78</f>
        <v>3899.0828889445065</v>
      </c>
      <c r="H10" s="138">
        <f>'LDV psg battery'!H78</f>
        <v>3816.4045355106382</v>
      </c>
      <c r="I10" s="138">
        <f>'LDV psg battery'!I78</f>
        <v>3744.054784601979</v>
      </c>
      <c r="J10" s="138">
        <f>'LDV psg battery'!J78</f>
        <v>3673.111831593334</v>
      </c>
      <c r="K10" s="138">
        <f>'LDV psg battery'!K78</f>
        <v>3603.1420118888864</v>
      </c>
      <c r="L10" s="138">
        <f>'LDV psg battery'!L78</f>
        <v>3535.8462545775192</v>
      </c>
      <c r="M10" s="138">
        <f>'LDV psg battery'!M78</f>
        <v>3474.9776005067565</v>
      </c>
      <c r="N10" s="138">
        <f>'LDV psg battery'!N78</f>
        <v>3416.037943193021</v>
      </c>
      <c r="O10" s="138">
        <f>'LDV psg battery'!O78</f>
        <v>3328.8265108985165</v>
      </c>
      <c r="P10" s="138">
        <f>'LDV psg battery'!P78</f>
        <v>3285.9030433972425</v>
      </c>
      <c r="Q10" s="138">
        <f>'LDV psg battery'!Q78</f>
        <v>3236.5164947077615</v>
      </c>
      <c r="R10" s="138">
        <f>'LDV psg battery'!R78</f>
        <v>3199.0094352323058</v>
      </c>
      <c r="S10" s="138">
        <f>'LDV psg battery'!S78</f>
        <v>3167.3297884394674</v>
      </c>
      <c r="T10" s="138">
        <f>'LDV psg battery'!T78</f>
        <v>3140.4719482547716</v>
      </c>
      <c r="U10" s="138">
        <f>'LDV psg battery'!U78</f>
        <v>3117.721971283831</v>
      </c>
      <c r="V10" s="138">
        <f>'LDV psg battery'!V78</f>
        <v>3096.3571823245247</v>
      </c>
      <c r="W10" s="138">
        <f>'LDV psg battery'!W78</f>
        <v>3080.948233279023</v>
      </c>
      <c r="X10" s="138">
        <f>'LDV psg battery'!X78</f>
        <v>3064.8177501320588</v>
      </c>
      <c r="Y10" s="138">
        <f>'LDV psg battery'!Y78</f>
        <v>3052.4521325688283</v>
      </c>
      <c r="Z10" s="138">
        <f>'LDV psg battery'!Z78</f>
        <v>3042.4863307875144</v>
      </c>
      <c r="AA10" s="138">
        <f>'LDV psg battery'!AA78</f>
        <v>3032.01660401032</v>
      </c>
      <c r="AB10" s="138">
        <f>'LDV psg battery'!AB78</f>
        <v>3023.118036743449</v>
      </c>
      <c r="AC10" s="138">
        <f>'LDV psg battery'!AC78</f>
        <v>3015.9297104783882</v>
      </c>
      <c r="AD10" s="138">
        <f>'LDV psg battery'!AD78</f>
        <v>3008.7884864873522</v>
      </c>
      <c r="AE10" s="138">
        <f>'LDV psg battery'!AE78</f>
        <v>3003.8227098060606</v>
      </c>
      <c r="AF10" s="138">
        <f>'LDV psg battery'!AF78</f>
        <v>3000.4275493726204</v>
      </c>
      <c r="AG10" s="138">
        <f>'LDV psg battery'!AG78</f>
        <v>2997.2059788137094</v>
      </c>
      <c r="AH10" s="138">
        <f>'LDV psg battery'!AH78</f>
        <v>2994.1717555264972</v>
      </c>
      <c r="AI10" s="138">
        <f>AG10</f>
        <v>2997.2059788137094</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9"/>
  <dimension ref="A1:E54"/>
  <sheetViews>
    <sheetView workbookViewId="0"/>
  </sheetViews>
  <sheetFormatPr defaultRowHeight="14.5" x14ac:dyDescent="0.35"/>
  <cols>
    <col min="2" max="2" width="52.08984375" customWidth="1"/>
    <col min="3" max="3" width="17.36328125" customWidth="1"/>
    <col min="4" max="4" width="22.7265625" customWidth="1"/>
    <col min="5" max="5" width="47.7265625" customWidth="1"/>
  </cols>
  <sheetData>
    <row r="1" spans="1:5" x14ac:dyDescent="0.35">
      <c r="A1" t="s">
        <v>319</v>
      </c>
      <c r="E1" s="2" t="s">
        <v>321</v>
      </c>
    </row>
    <row r="2" spans="1:5" x14ac:dyDescent="0.35">
      <c r="A2" t="s">
        <v>326</v>
      </c>
      <c r="E2" t="s">
        <v>322</v>
      </c>
    </row>
    <row r="3" spans="1:5" x14ac:dyDescent="0.35">
      <c r="A3" t="s">
        <v>360</v>
      </c>
      <c r="E3" t="s">
        <v>323</v>
      </c>
    </row>
    <row r="4" spans="1:5" x14ac:dyDescent="0.35">
      <c r="A4" t="s">
        <v>361</v>
      </c>
      <c r="E4" t="s">
        <v>324</v>
      </c>
    </row>
    <row r="5" spans="1:5" x14ac:dyDescent="0.35">
      <c r="E5" t="s">
        <v>325</v>
      </c>
    </row>
    <row r="6" spans="1:5" x14ac:dyDescent="0.35">
      <c r="A6" t="s">
        <v>327</v>
      </c>
    </row>
    <row r="7" spans="1:5" x14ac:dyDescent="0.35">
      <c r="A7" t="s">
        <v>328</v>
      </c>
    </row>
    <row r="8" spans="1:5" x14ac:dyDescent="0.35">
      <c r="A8" t="s">
        <v>329</v>
      </c>
    </row>
    <row r="9" spans="1:5" x14ac:dyDescent="0.35">
      <c r="A9" t="s">
        <v>331</v>
      </c>
    </row>
    <row r="10" spans="1:5" x14ac:dyDescent="0.35">
      <c r="A10" t="s">
        <v>332</v>
      </c>
    </row>
    <row r="11" spans="1:5" x14ac:dyDescent="0.35">
      <c r="A11" t="s">
        <v>333</v>
      </c>
    </row>
    <row r="13" spans="1:5" x14ac:dyDescent="0.35">
      <c r="A13" t="s">
        <v>334</v>
      </c>
      <c r="E13" s="2" t="s">
        <v>353</v>
      </c>
    </row>
    <row r="14" spans="1:5" x14ac:dyDescent="0.35">
      <c r="A14" t="s">
        <v>335</v>
      </c>
      <c r="E14" t="s">
        <v>330</v>
      </c>
    </row>
    <row r="15" spans="1:5" x14ac:dyDescent="0.35">
      <c r="A15" t="s">
        <v>336</v>
      </c>
    </row>
    <row r="16" spans="1:5" x14ac:dyDescent="0.35">
      <c r="E16" s="2" t="s">
        <v>354</v>
      </c>
    </row>
    <row r="17" spans="1:5" x14ac:dyDescent="0.35">
      <c r="A17" t="s">
        <v>342</v>
      </c>
      <c r="E17" t="s">
        <v>355</v>
      </c>
    </row>
    <row r="18" spans="1:5" x14ac:dyDescent="0.35">
      <c r="A18" t="s">
        <v>337</v>
      </c>
    </row>
    <row r="19" spans="1:5" x14ac:dyDescent="0.35">
      <c r="A19" t="s">
        <v>343</v>
      </c>
      <c r="E19" s="2" t="s">
        <v>356</v>
      </c>
    </row>
    <row r="20" spans="1:5" x14ac:dyDescent="0.35">
      <c r="A20" t="s">
        <v>345</v>
      </c>
      <c r="E20" t="s">
        <v>357</v>
      </c>
    </row>
    <row r="21" spans="1:5" x14ac:dyDescent="0.35">
      <c r="A21" t="s">
        <v>364</v>
      </c>
    </row>
    <row r="22" spans="1:5" x14ac:dyDescent="0.35">
      <c r="A22" t="s">
        <v>346</v>
      </c>
    </row>
    <row r="23" spans="1:5" x14ac:dyDescent="0.35">
      <c r="A23" t="s">
        <v>347</v>
      </c>
    </row>
    <row r="25" spans="1:5" ht="29" x14ac:dyDescent="0.35">
      <c r="B25" s="15" t="s">
        <v>338</v>
      </c>
      <c r="C25" s="3" t="s">
        <v>340</v>
      </c>
      <c r="D25" s="3" t="s">
        <v>272</v>
      </c>
      <c r="E25" s="3" t="s">
        <v>350</v>
      </c>
    </row>
    <row r="26" spans="1:5" x14ac:dyDescent="0.35">
      <c r="B26" t="s">
        <v>339</v>
      </c>
      <c r="C26">
        <v>500</v>
      </c>
      <c r="D26">
        <v>5900000</v>
      </c>
      <c r="E26">
        <v>1984</v>
      </c>
    </row>
    <row r="27" spans="1:5" x14ac:dyDescent="0.35">
      <c r="B27" t="s">
        <v>341</v>
      </c>
      <c r="C27">
        <v>500</v>
      </c>
      <c r="D27">
        <v>7050000</v>
      </c>
      <c r="E27">
        <v>1984</v>
      </c>
    </row>
    <row r="28" spans="1:5" x14ac:dyDescent="0.35">
      <c r="B28" t="s">
        <v>344</v>
      </c>
      <c r="C28">
        <v>500</v>
      </c>
      <c r="D28">
        <v>7050000</v>
      </c>
      <c r="E28">
        <v>1983</v>
      </c>
    </row>
    <row r="29" spans="1:5" x14ac:dyDescent="0.35">
      <c r="B29" t="s">
        <v>351</v>
      </c>
      <c r="C29">
        <v>1030</v>
      </c>
      <c r="D29">
        <v>6000000</v>
      </c>
      <c r="E29">
        <v>1999</v>
      </c>
    </row>
    <row r="30" spans="1:5" x14ac:dyDescent="0.35">
      <c r="B30" t="s">
        <v>348</v>
      </c>
      <c r="C30">
        <v>1800</v>
      </c>
      <c r="D30">
        <v>6000000</v>
      </c>
      <c r="E30">
        <v>2009</v>
      </c>
    </row>
    <row r="31" spans="1:5" x14ac:dyDescent="0.35">
      <c r="B31" t="s">
        <v>349</v>
      </c>
      <c r="C31">
        <v>2800</v>
      </c>
      <c r="D31">
        <v>22000000</v>
      </c>
      <c r="E31">
        <v>2014</v>
      </c>
    </row>
    <row r="33" spans="1:5" x14ac:dyDescent="0.35">
      <c r="A33" t="s">
        <v>352</v>
      </c>
    </row>
    <row r="34" spans="1:5" x14ac:dyDescent="0.35">
      <c r="A34" t="s">
        <v>365</v>
      </c>
    </row>
    <row r="35" spans="1:5" x14ac:dyDescent="0.35">
      <c r="A35" s="12">
        <v>10000000</v>
      </c>
    </row>
    <row r="37" spans="1:5" x14ac:dyDescent="0.35">
      <c r="A37" t="s">
        <v>363</v>
      </c>
    </row>
    <row r="42" spans="1:5" x14ac:dyDescent="0.35">
      <c r="A42" s="2" t="s">
        <v>366</v>
      </c>
      <c r="B42" s="18"/>
      <c r="E42" s="2" t="s">
        <v>368</v>
      </c>
    </row>
    <row r="43" spans="1:5" x14ac:dyDescent="0.35">
      <c r="A43" t="s">
        <v>367</v>
      </c>
      <c r="E43" t="s">
        <v>369</v>
      </c>
    </row>
    <row r="44" spans="1:5" x14ac:dyDescent="0.35">
      <c r="A44" t="s">
        <v>370</v>
      </c>
    </row>
    <row r="45" spans="1:5" x14ac:dyDescent="0.35">
      <c r="E45" s="2" t="s">
        <v>373</v>
      </c>
    </row>
    <row r="46" spans="1:5" x14ac:dyDescent="0.35">
      <c r="A46" t="s">
        <v>371</v>
      </c>
      <c r="E46" t="s">
        <v>374</v>
      </c>
    </row>
    <row r="47" spans="1:5" x14ac:dyDescent="0.35">
      <c r="A47" t="s">
        <v>372</v>
      </c>
      <c r="E47" t="s">
        <v>375</v>
      </c>
    </row>
    <row r="48" spans="1:5" x14ac:dyDescent="0.35">
      <c r="A48" t="s">
        <v>377</v>
      </c>
      <c r="E48" t="s">
        <v>376</v>
      </c>
    </row>
    <row r="49" spans="1:1" x14ac:dyDescent="0.35">
      <c r="A49" s="12">
        <v>30000</v>
      </c>
    </row>
    <row r="51" spans="1:1" x14ac:dyDescent="0.35">
      <c r="A51" t="s">
        <v>363</v>
      </c>
    </row>
    <row r="53" spans="1:1" x14ac:dyDescent="0.35">
      <c r="A53" t="s">
        <v>568</v>
      </c>
    </row>
    <row r="54" spans="1:1" x14ac:dyDescent="0.35">
      <c r="A54" t="s">
        <v>569</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20"/>
  <dimension ref="A1:C12"/>
  <sheetViews>
    <sheetView workbookViewId="0">
      <selection activeCell="C3" sqref="C3"/>
    </sheetView>
  </sheetViews>
  <sheetFormatPr defaultRowHeight="14.5" x14ac:dyDescent="0.35"/>
  <cols>
    <col min="1" max="1" width="16.6328125" customWidth="1"/>
    <col min="2" max="2" width="12.7265625" customWidth="1"/>
  </cols>
  <sheetData>
    <row r="1" spans="1:3" x14ac:dyDescent="0.35">
      <c r="A1" s="1" t="s">
        <v>270</v>
      </c>
    </row>
    <row r="2" spans="1:3" x14ac:dyDescent="0.35">
      <c r="A2" s="2" t="s">
        <v>271</v>
      </c>
      <c r="B2" s="2" t="s">
        <v>258</v>
      </c>
      <c r="C2" s="2" t="s">
        <v>272</v>
      </c>
    </row>
    <row r="3" spans="1:3" x14ac:dyDescent="0.35">
      <c r="A3" t="s">
        <v>273</v>
      </c>
      <c r="B3" t="s">
        <v>274</v>
      </c>
      <c r="C3">
        <v>8700</v>
      </c>
    </row>
    <row r="4" spans="1:3" x14ac:dyDescent="0.35">
      <c r="A4" t="s">
        <v>275</v>
      </c>
      <c r="B4" t="s">
        <v>276</v>
      </c>
      <c r="C4">
        <v>4600</v>
      </c>
    </row>
    <row r="5" spans="1:3" x14ac:dyDescent="0.35">
      <c r="A5" t="s">
        <v>277</v>
      </c>
      <c r="B5" t="s">
        <v>278</v>
      </c>
      <c r="C5">
        <v>10500</v>
      </c>
    </row>
    <row r="6" spans="1:3" x14ac:dyDescent="0.35">
      <c r="A6" t="s">
        <v>279</v>
      </c>
      <c r="B6" t="s">
        <v>280</v>
      </c>
      <c r="C6">
        <v>6500</v>
      </c>
    </row>
    <row r="7" spans="1:3" x14ac:dyDescent="0.35">
      <c r="A7" t="s">
        <v>281</v>
      </c>
      <c r="B7" t="s">
        <v>282</v>
      </c>
      <c r="C7">
        <v>3000</v>
      </c>
    </row>
    <row r="8" spans="1:3" x14ac:dyDescent="0.35">
      <c r="A8" t="s">
        <v>283</v>
      </c>
      <c r="B8" t="s">
        <v>284</v>
      </c>
      <c r="C8">
        <v>10000</v>
      </c>
    </row>
    <row r="9" spans="1:3" x14ac:dyDescent="0.35">
      <c r="A9" t="s">
        <v>285</v>
      </c>
      <c r="B9" t="s">
        <v>286</v>
      </c>
      <c r="C9">
        <v>13000</v>
      </c>
    </row>
    <row r="10" spans="1:3" x14ac:dyDescent="0.35">
      <c r="A10" t="s">
        <v>287</v>
      </c>
      <c r="B10" t="s">
        <v>288</v>
      </c>
      <c r="C10">
        <v>9000</v>
      </c>
    </row>
    <row r="11" spans="1:3" x14ac:dyDescent="0.35">
      <c r="A11" t="s">
        <v>289</v>
      </c>
      <c r="B11" t="s">
        <v>290</v>
      </c>
      <c r="C11">
        <v>19000</v>
      </c>
    </row>
    <row r="12" spans="1:3" x14ac:dyDescent="0.35">
      <c r="A12" t="s">
        <v>291</v>
      </c>
      <c r="B12" t="s">
        <v>292</v>
      </c>
      <c r="C12">
        <v>5500</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24">
    <tabColor theme="3"/>
  </sheetPr>
  <dimension ref="A1:AJ8"/>
  <sheetViews>
    <sheetView zoomScaleNormal="100" workbookViewId="0">
      <selection activeCell="B2" sqref="B2:AG8"/>
    </sheetView>
  </sheetViews>
  <sheetFormatPr defaultRowHeight="14.5" x14ac:dyDescent="0.35"/>
  <cols>
    <col min="1" max="1" width="24.3632812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'LDV psg EVs'!D2</f>
        <v>36183.868793444846</v>
      </c>
      <c r="C2" s="4">
        <f>'LDV psg EVs'!E2</f>
        <v>34927.187396140122</v>
      </c>
      <c r="D2" s="4">
        <f>'LDV psg EVs'!F2</f>
        <v>34218.081459372537</v>
      </c>
      <c r="E2" s="4">
        <f>'LDV psg EVs'!G2</f>
        <v>33745.184544797448</v>
      </c>
      <c r="F2" s="4">
        <f>'LDV psg EVs'!H2</f>
        <v>33576.92130475273</v>
      </c>
      <c r="G2" s="4">
        <f>'LDV psg EVs'!I2</f>
        <v>33492.100716463181</v>
      </c>
      <c r="H2" s="4">
        <f>'LDV psg EVs'!J2</f>
        <v>33383.098867088178</v>
      </c>
      <c r="I2" s="4">
        <f>'LDV psg EVs'!K2</f>
        <v>33195.740244753644</v>
      </c>
      <c r="J2" s="4">
        <f>'LDV psg EVs'!L2</f>
        <v>33014.60043397118</v>
      </c>
      <c r="K2" s="4">
        <f>'LDV psg EVs'!M2</f>
        <v>32845.80541091456</v>
      </c>
      <c r="L2" s="4">
        <f>'LDV psg EVs'!N2</f>
        <v>32691.821199679653</v>
      </c>
      <c r="M2" s="4">
        <f>'LDV psg EVs'!O2</f>
        <v>32554.530428980157</v>
      </c>
      <c r="N2" s="4">
        <f>'LDV psg EVs'!P2</f>
        <v>32452.843961146293</v>
      </c>
      <c r="O2" s="4">
        <f>'LDV psg EVs'!Q2</f>
        <v>32328.892340511025</v>
      </c>
      <c r="P2" s="4">
        <f>'LDV psg EVs'!R2</f>
        <v>32243.005824566419</v>
      </c>
      <c r="Q2" s="4">
        <f>'LDV psg EVs'!S2</f>
        <v>32161.248986629507</v>
      </c>
      <c r="R2" s="4">
        <f>'LDV psg EVs'!T2</f>
        <v>32092.73089123112</v>
      </c>
      <c r="S2" s="4">
        <f>'LDV psg EVs'!U2</f>
        <v>32033.166580308876</v>
      </c>
      <c r="T2" s="4">
        <f>'LDV psg EVs'!V2</f>
        <v>31981.487538554757</v>
      </c>
      <c r="U2" s="4">
        <f>'LDV psg EVs'!W2</f>
        <v>31937.861960290116</v>
      </c>
      <c r="V2" s="4">
        <f>'LDV psg EVs'!X2</f>
        <v>31896.772490106228</v>
      </c>
      <c r="W2" s="4">
        <f>'LDV psg EVs'!Y2</f>
        <v>31863.370004071934</v>
      </c>
      <c r="X2" s="4">
        <f>'LDV psg EVs'!Z2</f>
        <v>31831.445119607022</v>
      </c>
      <c r="Y2" s="4">
        <f>'LDV psg EVs'!AA2</f>
        <v>31802.865415992492</v>
      </c>
      <c r="Z2" s="4">
        <f>'LDV psg EVs'!AB2</f>
        <v>31778.844675650042</v>
      </c>
      <c r="AA2" s="4">
        <f>'LDV psg EVs'!AC2</f>
        <v>31755.403254508365</v>
      </c>
      <c r="AB2" s="4">
        <f>'LDV psg EVs'!AD2</f>
        <v>31733.586177712874</v>
      </c>
      <c r="AC2" s="4">
        <f>'LDV psg EVs'!AE2</f>
        <v>31714.46196005409</v>
      </c>
      <c r="AD2" s="4">
        <f>'LDV psg EVs'!AF2</f>
        <v>31695.280741065253</v>
      </c>
      <c r="AE2" s="4">
        <f>'LDV psg EVs'!AG2</f>
        <v>31677.64534283994</v>
      </c>
      <c r="AF2" s="4">
        <f>'LDV psg EVs'!AH2</f>
        <v>31662.265383619007</v>
      </c>
      <c r="AG2" s="4">
        <f>'LDV psg EVs'!AI2</f>
        <v>31648.141297942053</v>
      </c>
      <c r="AH2" s="4"/>
      <c r="AI2" s="4"/>
      <c r="AJ2" s="4"/>
    </row>
    <row r="3" spans="1:36" x14ac:dyDescent="0.35">
      <c r="A3" t="s">
        <v>1</v>
      </c>
      <c r="B3" s="4">
        <v>999999</v>
      </c>
      <c r="C3" s="4">
        <v>999999</v>
      </c>
      <c r="D3" s="4">
        <v>999999</v>
      </c>
      <c r="E3" s="4">
        <v>999999</v>
      </c>
      <c r="F3" s="4">
        <v>999999</v>
      </c>
      <c r="G3" s="4">
        <v>999999</v>
      </c>
      <c r="H3" s="4">
        <v>999999</v>
      </c>
      <c r="I3" s="4">
        <v>999999</v>
      </c>
      <c r="J3" s="4">
        <v>999999</v>
      </c>
      <c r="K3" s="4">
        <v>999999</v>
      </c>
      <c r="L3" s="4">
        <v>999999</v>
      </c>
      <c r="M3" s="4">
        <v>999999</v>
      </c>
      <c r="N3" s="4">
        <v>999999</v>
      </c>
      <c r="O3" s="4">
        <v>999999</v>
      </c>
      <c r="P3" s="4">
        <v>999999</v>
      </c>
      <c r="Q3" s="4">
        <v>999999</v>
      </c>
      <c r="R3" s="4">
        <v>999999</v>
      </c>
      <c r="S3" s="4">
        <v>999999</v>
      </c>
      <c r="T3" s="4">
        <v>999999</v>
      </c>
      <c r="U3" s="4">
        <v>999999</v>
      </c>
      <c r="V3" s="4">
        <v>999999</v>
      </c>
      <c r="W3" s="4">
        <v>999999</v>
      </c>
      <c r="X3" s="4">
        <v>999999</v>
      </c>
      <c r="Y3" s="4">
        <v>999999</v>
      </c>
      <c r="Z3" s="4">
        <v>999999</v>
      </c>
      <c r="AA3" s="4">
        <v>999999</v>
      </c>
      <c r="AB3" s="4">
        <v>999999</v>
      </c>
      <c r="AC3" s="4">
        <v>999999</v>
      </c>
      <c r="AD3" s="4">
        <v>999999</v>
      </c>
      <c r="AE3" s="4">
        <v>999999</v>
      </c>
      <c r="AF3" s="4">
        <v>999999</v>
      </c>
      <c r="AG3" s="4">
        <v>999999</v>
      </c>
      <c r="AH3" s="4"/>
      <c r="AI3" s="4"/>
      <c r="AJ3" s="4"/>
    </row>
    <row r="4" spans="1:36" x14ac:dyDescent="0.35">
      <c r="A4" t="s">
        <v>2</v>
      </c>
      <c r="B4" s="4">
        <f>'LDV psg gasoline'!D3</f>
        <v>32292.839724090984</v>
      </c>
      <c r="C4" s="4">
        <f>'LDV psg gasoline'!E3</f>
        <v>32407.089724090984</v>
      </c>
      <c r="D4" s="4">
        <f>'LDV psg gasoline'!F3</f>
        <v>32521.339724090984</v>
      </c>
      <c r="E4" s="4">
        <f>'LDV psg gasoline'!G3</f>
        <v>32635.589724090984</v>
      </c>
      <c r="F4" s="4">
        <f>'LDV psg gasoline'!H3</f>
        <v>32749.839724090984</v>
      </c>
      <c r="G4" s="4">
        <f>'LDV psg gasoline'!I3</f>
        <v>32864.089724090984</v>
      </c>
      <c r="H4" s="4">
        <f>'LDV psg gasoline'!J3</f>
        <v>32978.339724090984</v>
      </c>
      <c r="I4" s="4">
        <f>'LDV psg gasoline'!K3</f>
        <v>32978.339724090984</v>
      </c>
      <c r="J4" s="4">
        <f>'LDV psg gasoline'!L3</f>
        <v>32978.339724090984</v>
      </c>
      <c r="K4" s="4">
        <f>'LDV psg gasoline'!M3</f>
        <v>32978.339724090984</v>
      </c>
      <c r="L4" s="4">
        <f>'LDV psg gasoline'!N3</f>
        <v>32978.339724090984</v>
      </c>
      <c r="M4" s="4">
        <f>'LDV psg gasoline'!O3</f>
        <v>32978.339724090984</v>
      </c>
      <c r="N4" s="4">
        <f>'LDV psg gasoline'!P3</f>
        <v>32978.339724090984</v>
      </c>
      <c r="O4" s="4">
        <f>'LDV psg gasoline'!Q3</f>
        <v>32978.339724090984</v>
      </c>
      <c r="P4" s="4">
        <f>'LDV psg gasoline'!R3</f>
        <v>32978.339724090984</v>
      </c>
      <c r="Q4" s="4">
        <f>'LDV psg gasoline'!S3</f>
        <v>32978.339724090984</v>
      </c>
      <c r="R4" s="4">
        <f>'LDV psg gasoline'!T3</f>
        <v>32978.339724090984</v>
      </c>
      <c r="S4" s="4">
        <f>'LDV psg gasoline'!U3</f>
        <v>32978.339724090984</v>
      </c>
      <c r="T4" s="4">
        <f>'LDV psg gasoline'!V3</f>
        <v>32978.339724090984</v>
      </c>
      <c r="U4" s="4">
        <f>'LDV psg gasoline'!W3</f>
        <v>32978.339724090984</v>
      </c>
      <c r="V4" s="4">
        <f>'LDV psg gasoline'!X3</f>
        <v>32978.339724090984</v>
      </c>
      <c r="W4" s="4">
        <f>'LDV psg gasoline'!Y3</f>
        <v>32978.339724090984</v>
      </c>
      <c r="X4" s="4">
        <f>'LDV psg gasoline'!Z3</f>
        <v>32978.339724090984</v>
      </c>
      <c r="Y4" s="4">
        <f>'LDV psg gasoline'!AA3</f>
        <v>32978.339724090984</v>
      </c>
      <c r="Z4" s="4">
        <f>'LDV psg gasoline'!AB3</f>
        <v>32978.339724090984</v>
      </c>
      <c r="AA4" s="4">
        <f>'LDV psg gasoline'!AC3</f>
        <v>32978.339724090984</v>
      </c>
      <c r="AB4" s="4">
        <f>'LDV psg gasoline'!AD3</f>
        <v>32978.339724090984</v>
      </c>
      <c r="AC4" s="4">
        <f>'LDV psg gasoline'!AE3</f>
        <v>32978.339724090984</v>
      </c>
      <c r="AD4" s="4">
        <f>'LDV psg gasoline'!AF3</f>
        <v>32978.339724090984</v>
      </c>
      <c r="AE4" s="4">
        <f>'LDV psg gasoline'!AG3</f>
        <v>32978.339724090984</v>
      </c>
      <c r="AF4" s="4">
        <f>'LDV psg gasoline'!AH3</f>
        <v>32978.339724090984</v>
      </c>
      <c r="AG4" s="4">
        <f>'LDV psg gasoline'!AI3</f>
        <v>32978.339724090984</v>
      </c>
      <c r="AH4" s="4"/>
      <c r="AI4" s="4"/>
      <c r="AJ4" s="4"/>
    </row>
    <row r="5" spans="1:36" x14ac:dyDescent="0.35">
      <c r="A5" t="s">
        <v>3</v>
      </c>
      <c r="B5" s="4">
        <v>999999</v>
      </c>
      <c r="C5" s="4">
        <v>999999</v>
      </c>
      <c r="D5" s="4">
        <v>999999</v>
      </c>
      <c r="E5" s="4">
        <v>999999</v>
      </c>
      <c r="F5" s="4">
        <v>999999</v>
      </c>
      <c r="G5" s="4">
        <v>999999</v>
      </c>
      <c r="H5" s="4">
        <v>999999</v>
      </c>
      <c r="I5" s="4">
        <v>999999</v>
      </c>
      <c r="J5" s="4">
        <v>999999</v>
      </c>
      <c r="K5" s="4">
        <v>999999</v>
      </c>
      <c r="L5" s="4">
        <v>999999</v>
      </c>
      <c r="M5" s="4">
        <v>999999</v>
      </c>
      <c r="N5" s="4">
        <v>999999</v>
      </c>
      <c r="O5" s="4">
        <v>999999</v>
      </c>
      <c r="P5" s="4">
        <v>999999</v>
      </c>
      <c r="Q5" s="4">
        <v>999999</v>
      </c>
      <c r="R5" s="4">
        <v>999999</v>
      </c>
      <c r="S5" s="4">
        <v>999999</v>
      </c>
      <c r="T5" s="4">
        <v>999999</v>
      </c>
      <c r="U5" s="4">
        <v>999999</v>
      </c>
      <c r="V5" s="4">
        <v>999999</v>
      </c>
      <c r="W5" s="4">
        <v>999999</v>
      </c>
      <c r="X5" s="4">
        <v>999999</v>
      </c>
      <c r="Y5" s="4">
        <v>999999</v>
      </c>
      <c r="Z5" s="4">
        <v>999999</v>
      </c>
      <c r="AA5" s="4">
        <v>999999</v>
      </c>
      <c r="AB5" s="4">
        <v>999999</v>
      </c>
      <c r="AC5" s="4">
        <v>999999</v>
      </c>
      <c r="AD5" s="4">
        <v>999999</v>
      </c>
      <c r="AE5" s="4">
        <v>999999</v>
      </c>
      <c r="AF5" s="4">
        <v>999999</v>
      </c>
      <c r="AG5" s="4">
        <v>999999</v>
      </c>
      <c r="AH5" s="4"/>
      <c r="AI5" s="4"/>
      <c r="AJ5" s="4"/>
    </row>
    <row r="6" spans="1:36" x14ac:dyDescent="0.35">
      <c r="A6" t="s">
        <v>4</v>
      </c>
      <c r="B6" s="4">
        <f>'LDV psg EVs'!D7</f>
        <v>40362.922522671761</v>
      </c>
      <c r="C6" s="4">
        <f>'LDV psg EVs'!E7</f>
        <v>39909.37382494325</v>
      </c>
      <c r="D6" s="4">
        <f>'LDV psg EVs'!F7</f>
        <v>39653.45050590449</v>
      </c>
      <c r="E6" s="4">
        <f>'LDV psg EVs'!G7</f>
        <v>39640.922613035487</v>
      </c>
      <c r="F6" s="4">
        <f>'LDV psg EVs'!H7</f>
        <v>39558.244259601619</v>
      </c>
      <c r="G6" s="4">
        <f>'LDV psg EVs'!I7</f>
        <v>39485.89450869296</v>
      </c>
      <c r="H6" s="4">
        <f>'LDV psg EVs'!J7</f>
        <v>39414.951555684318</v>
      </c>
      <c r="I6" s="4">
        <f>'LDV psg EVs'!K7</f>
        <v>39344.981735979869</v>
      </c>
      <c r="J6" s="4">
        <f>'LDV psg EVs'!L7</f>
        <v>39277.685978668502</v>
      </c>
      <c r="K6" s="4">
        <f>'LDV psg EVs'!M7</f>
        <v>39216.817324597738</v>
      </c>
      <c r="L6" s="4">
        <f>'LDV psg EVs'!N7</f>
        <v>39157.877667284003</v>
      </c>
      <c r="M6" s="4">
        <f>'LDV psg EVs'!O7</f>
        <v>39070.666234989498</v>
      </c>
      <c r="N6" s="4">
        <f>'LDV psg EVs'!P7</f>
        <v>39027.742767488227</v>
      </c>
      <c r="O6" s="4">
        <f>'LDV psg EVs'!Q7</f>
        <v>38978.356218798748</v>
      </c>
      <c r="P6" s="4">
        <f>'LDV psg EVs'!R7</f>
        <v>38940.84915932329</v>
      </c>
      <c r="Q6" s="4">
        <f>'LDV psg EVs'!S7</f>
        <v>38909.169512530454</v>
      </c>
      <c r="R6" s="4">
        <f>'LDV psg EVs'!T7</f>
        <v>38882.311672345757</v>
      </c>
      <c r="S6" s="4">
        <f>'LDV psg EVs'!U7</f>
        <v>38859.561695374818</v>
      </c>
      <c r="T6" s="4">
        <f>'LDV psg EVs'!V7</f>
        <v>38838.196906415506</v>
      </c>
      <c r="U6" s="4">
        <f>'LDV psg EVs'!W7</f>
        <v>38822.787957370005</v>
      </c>
      <c r="V6" s="4">
        <f>'LDV psg EVs'!X7</f>
        <v>38806.657474223044</v>
      </c>
      <c r="W6" s="4">
        <f>'LDV psg EVs'!Y7</f>
        <v>38794.291856659809</v>
      </c>
      <c r="X6" s="4">
        <f>'LDV psg EVs'!Z7</f>
        <v>38784.326054878497</v>
      </c>
      <c r="Y6" s="4">
        <f>'LDV psg EVs'!AA7</f>
        <v>38773.856328101305</v>
      </c>
      <c r="Z6" s="4">
        <f>'LDV psg EVs'!AB7</f>
        <v>38764.957760834433</v>
      </c>
      <c r="AA6" s="4">
        <f>'LDV psg EVs'!AC7</f>
        <v>38757.769434569374</v>
      </c>
      <c r="AB6" s="4">
        <f>'LDV psg EVs'!AD7</f>
        <v>38750.628210578332</v>
      </c>
      <c r="AC6" s="4">
        <f>'LDV psg EVs'!AE7</f>
        <v>38745.662433897043</v>
      </c>
      <c r="AD6" s="4">
        <f>'LDV psg EVs'!AF7</f>
        <v>38742.267273463607</v>
      </c>
      <c r="AE6" s="4">
        <f>'LDV psg EVs'!AG7</f>
        <v>38739.045702904696</v>
      </c>
      <c r="AF6" s="4">
        <f>'LDV psg EVs'!AH7</f>
        <v>38736.011479617482</v>
      </c>
      <c r="AG6" s="4">
        <f>'LDV psg EVs'!AI7</f>
        <v>38739.045702904696</v>
      </c>
      <c r="AH6" s="4"/>
      <c r="AI6" s="4"/>
      <c r="AJ6" s="4"/>
    </row>
    <row r="7" spans="1:36" x14ac:dyDescent="0.35">
      <c r="A7" t="s">
        <v>565</v>
      </c>
      <c r="B7" s="4">
        <v>999999</v>
      </c>
      <c r="C7" s="4">
        <v>999999</v>
      </c>
      <c r="D7" s="4">
        <v>999999</v>
      </c>
      <c r="E7" s="4">
        <v>999999</v>
      </c>
      <c r="F7" s="4">
        <v>999999</v>
      </c>
      <c r="G7" s="4">
        <v>999999</v>
      </c>
      <c r="H7" s="4">
        <v>999999</v>
      </c>
      <c r="I7" s="4">
        <v>999999</v>
      </c>
      <c r="J7" s="4">
        <v>999999</v>
      </c>
      <c r="K7" s="4">
        <v>999999</v>
      </c>
      <c r="L7" s="4">
        <v>999999</v>
      </c>
      <c r="M7" s="4">
        <v>999999</v>
      </c>
      <c r="N7" s="4">
        <v>999999</v>
      </c>
      <c r="O7" s="4">
        <v>999999</v>
      </c>
      <c r="P7" s="4">
        <v>999999</v>
      </c>
      <c r="Q7" s="4">
        <v>999999</v>
      </c>
      <c r="R7" s="4">
        <v>999999</v>
      </c>
      <c r="S7" s="4">
        <v>999999</v>
      </c>
      <c r="T7" s="4">
        <v>999999</v>
      </c>
      <c r="U7" s="4">
        <v>999999</v>
      </c>
      <c r="V7" s="4">
        <v>999999</v>
      </c>
      <c r="W7" s="4">
        <v>999999</v>
      </c>
      <c r="X7" s="4">
        <v>999999</v>
      </c>
      <c r="Y7" s="4">
        <v>999999</v>
      </c>
      <c r="Z7" s="4">
        <v>999999</v>
      </c>
      <c r="AA7" s="4">
        <v>999999</v>
      </c>
      <c r="AB7" s="4">
        <v>999999</v>
      </c>
      <c r="AC7" s="4">
        <v>999999</v>
      </c>
      <c r="AD7" s="4">
        <v>999999</v>
      </c>
      <c r="AE7" s="4">
        <v>999999</v>
      </c>
      <c r="AF7" s="4">
        <v>999999</v>
      </c>
      <c r="AG7" s="4">
        <v>999999</v>
      </c>
      <c r="AH7" s="4"/>
      <c r="AI7" s="4"/>
      <c r="AJ7" s="4"/>
    </row>
    <row r="8" spans="1:36" x14ac:dyDescent="0.35">
      <c r="A8" t="s">
        <v>566</v>
      </c>
      <c r="B8" s="4">
        <v>999999</v>
      </c>
      <c r="C8" s="4">
        <v>999999</v>
      </c>
      <c r="D8" s="4">
        <v>999999</v>
      </c>
      <c r="E8" s="4">
        <v>999999</v>
      </c>
      <c r="F8" s="4">
        <v>999999</v>
      </c>
      <c r="G8" s="4">
        <v>999999</v>
      </c>
      <c r="H8" s="4">
        <v>999999</v>
      </c>
      <c r="I8" s="4">
        <v>999999</v>
      </c>
      <c r="J8" s="4">
        <v>999999</v>
      </c>
      <c r="K8" s="4">
        <v>999999</v>
      </c>
      <c r="L8" s="4">
        <v>999999</v>
      </c>
      <c r="M8" s="4">
        <v>999999</v>
      </c>
      <c r="N8" s="4">
        <v>999999</v>
      </c>
      <c r="O8" s="4">
        <v>999999</v>
      </c>
      <c r="P8" s="4">
        <v>999999</v>
      </c>
      <c r="Q8" s="4">
        <v>999999</v>
      </c>
      <c r="R8" s="4">
        <v>999999</v>
      </c>
      <c r="S8" s="4">
        <v>999999</v>
      </c>
      <c r="T8" s="4">
        <v>999999</v>
      </c>
      <c r="U8" s="4">
        <v>999999</v>
      </c>
      <c r="V8" s="4">
        <v>999999</v>
      </c>
      <c r="W8" s="4">
        <v>999999</v>
      </c>
      <c r="X8" s="4">
        <v>999999</v>
      </c>
      <c r="Y8" s="4">
        <v>999999</v>
      </c>
      <c r="Z8" s="4">
        <v>999999</v>
      </c>
      <c r="AA8" s="4">
        <v>999999</v>
      </c>
      <c r="AB8" s="4">
        <v>999999</v>
      </c>
      <c r="AC8" s="4">
        <v>999999</v>
      </c>
      <c r="AD8" s="4">
        <v>999999</v>
      </c>
      <c r="AE8" s="4">
        <v>999999</v>
      </c>
      <c r="AF8" s="4">
        <v>999999</v>
      </c>
      <c r="AG8" s="4">
        <v>999999</v>
      </c>
      <c r="AH8" s="4"/>
      <c r="AI8" s="4"/>
      <c r="AJ8" s="4"/>
    </row>
  </sheetData>
  <pageMargins left="0.7" right="0.7" top="0.75" bottom="0.75" header="0.3" footer="0.3"/>
  <ignoredErrors>
    <ignoredError sqref="B4:AG4 B6:AG6" formula="1"/>
  </ignoredErrors>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25">
    <tabColor theme="3"/>
  </sheetPr>
  <dimension ref="A1:AJ8"/>
  <sheetViews>
    <sheetView topLeftCell="O1" workbookViewId="0">
      <selection activeCell="B2" sqref="B2:AG8"/>
    </sheetView>
  </sheetViews>
  <sheetFormatPr defaultRowHeight="14.5" x14ac:dyDescent="0.35"/>
  <cols>
    <col min="1" max="1" width="24.3632812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24">
        <f>C2</f>
        <v>57533.449619128398</v>
      </c>
      <c r="C2" s="24">
        <f>'LDV frt'!B3</f>
        <v>57533.449619128398</v>
      </c>
      <c r="D2" s="24">
        <f>'LDV frt'!C3</f>
        <v>54944.043953458269</v>
      </c>
      <c r="E2" s="24">
        <f>'LDV frt'!D3</f>
        <v>53260.886775484774</v>
      </c>
      <c r="F2" s="24">
        <f>'LDV frt'!E3</f>
        <v>52051.19306646895</v>
      </c>
      <c r="G2" s="24">
        <f>'LDV frt'!F3</f>
        <v>51103.051022097658</v>
      </c>
      <c r="H2" s="24">
        <f>'LDV frt'!G3</f>
        <v>50401.258003643525</v>
      </c>
      <c r="I2" s="24">
        <f>'LDV frt'!H3</f>
        <v>49806.339121201891</v>
      </c>
      <c r="J2" s="24">
        <f>'LDV frt'!I3</f>
        <v>49285.955973410826</v>
      </c>
      <c r="K2" s="24">
        <f>'LDV frt'!J3</f>
        <v>48838.589677200398</v>
      </c>
      <c r="L2" s="24">
        <f>'LDV frt'!K3</f>
        <v>48448.319576391987</v>
      </c>
      <c r="M2" s="24">
        <f>'LDV frt'!L3</f>
        <v>48103.905936267998</v>
      </c>
      <c r="N2" s="24">
        <f>'LDV frt'!M3</f>
        <v>47798.831367655599</v>
      </c>
      <c r="O2" s="24">
        <f>'LDV frt'!N3</f>
        <v>47531.590795512733</v>
      </c>
      <c r="P2" s="24">
        <f>'LDV frt'!O3</f>
        <v>47300.541064518278</v>
      </c>
      <c r="Q2" s="24">
        <f>'LDV frt'!P3</f>
        <v>47099.606642392464</v>
      </c>
      <c r="R2" s="24">
        <f>'LDV frt'!Q3</f>
        <v>46923.968527395191</v>
      </c>
      <c r="S2" s="24">
        <f>'LDV frt'!R3</f>
        <v>46766.971250074515</v>
      </c>
      <c r="T2" s="24">
        <f>'LDV frt'!S3</f>
        <v>46629.332827881677</v>
      </c>
      <c r="U2" s="24">
        <f>'LDV frt'!T3</f>
        <v>46507.518405672097</v>
      </c>
      <c r="V2" s="24">
        <f>'LDV frt'!U3</f>
        <v>46398.200248719782</v>
      </c>
      <c r="W2" s="24">
        <f>'LDV frt'!V3</f>
        <v>46298.94814411283</v>
      </c>
      <c r="X2" s="24">
        <f>'LDV frt'!W3</f>
        <v>46210.480109302487</v>
      </c>
      <c r="Y2" s="24">
        <f>'LDV frt'!X3</f>
        <v>46130.890636437369</v>
      </c>
      <c r="Z2" s="24">
        <f>'LDV frt'!Y3</f>
        <v>46058.909386949883</v>
      </c>
      <c r="AA2" s="24">
        <f>'LDV frt'!Z3</f>
        <v>45993.500758746894</v>
      </c>
      <c r="AB2" s="24">
        <f>'LDV frt'!AA3</f>
        <v>45933.781038042238</v>
      </c>
      <c r="AC2" s="24">
        <f>'LDV frt'!AB3</f>
        <v>45879.142671607944</v>
      </c>
      <c r="AD2" s="24">
        <f>'LDV frt'!AC3</f>
        <v>45828.826217909038</v>
      </c>
      <c r="AE2" s="24">
        <f>'LDV frt'!AD3</f>
        <v>45782.293163857088</v>
      </c>
      <c r="AF2" s="24">
        <f>'LDV frt'!AE3</f>
        <v>45739.115460586923</v>
      </c>
      <c r="AG2" s="24">
        <f>'LDV frt'!AF3</f>
        <v>45698.920291345014</v>
      </c>
      <c r="AH2" s="4"/>
      <c r="AI2" s="4"/>
      <c r="AJ2" s="4"/>
    </row>
    <row r="3" spans="1:36" x14ac:dyDescent="0.35">
      <c r="A3" t="s">
        <v>1</v>
      </c>
      <c r="B3" s="24">
        <f t="shared" ref="B3:B8" si="0">C3</f>
        <v>52508.216124604602</v>
      </c>
      <c r="C3" s="4">
        <f>'LDV frt'!B4</f>
        <v>52508.216124604602</v>
      </c>
      <c r="D3" s="4">
        <f>'LDV frt'!C4</f>
        <v>53065.107962919996</v>
      </c>
      <c r="E3" s="4">
        <f>'LDV frt'!D4</f>
        <v>53621.999801235383</v>
      </c>
      <c r="F3" s="4">
        <f>'LDV frt'!E4</f>
        <v>54178.891639550777</v>
      </c>
      <c r="G3" s="4">
        <f>'LDV frt'!F4</f>
        <v>55198.926836126149</v>
      </c>
      <c r="H3" s="4">
        <f>'LDV frt'!G4</f>
        <v>56218.962032701515</v>
      </c>
      <c r="I3" s="4">
        <f>'LDV frt'!H4</f>
        <v>57238.997229276894</v>
      </c>
      <c r="J3" s="4">
        <f>'LDV frt'!I4</f>
        <v>58259.032425852267</v>
      </c>
      <c r="K3" s="4">
        <f>'LDV frt'!J4</f>
        <v>59665.398880471315</v>
      </c>
      <c r="L3" s="4">
        <f>'LDV frt'!K4</f>
        <v>61071.765335090371</v>
      </c>
      <c r="M3" s="4">
        <f>'LDV frt'!L4</f>
        <v>62478.13178970942</v>
      </c>
      <c r="N3" s="4">
        <f>'LDV frt'!M4</f>
        <v>62478.13178970942</v>
      </c>
      <c r="O3" s="4">
        <f>'LDV frt'!N4</f>
        <v>62478.13178970942</v>
      </c>
      <c r="P3" s="4">
        <f>'LDV frt'!O4</f>
        <v>62478.13178970942</v>
      </c>
      <c r="Q3" s="4">
        <f>'LDV frt'!P4</f>
        <v>62478.13178970942</v>
      </c>
      <c r="R3" s="4">
        <f>'LDV frt'!Q4</f>
        <v>62478.13178970942</v>
      </c>
      <c r="S3" s="4">
        <f>'LDV frt'!R4</f>
        <v>62478.13178970942</v>
      </c>
      <c r="T3" s="4">
        <f>'LDV frt'!S4</f>
        <v>62478.13178970942</v>
      </c>
      <c r="U3" s="4">
        <f>'LDV frt'!T4</f>
        <v>62478.13178970942</v>
      </c>
      <c r="V3" s="4">
        <f>'LDV frt'!U4</f>
        <v>62478.13178970942</v>
      </c>
      <c r="W3" s="4">
        <f>'LDV frt'!V4</f>
        <v>62478.13178970942</v>
      </c>
      <c r="X3" s="4">
        <f>'LDV frt'!W4</f>
        <v>62478.13178970942</v>
      </c>
      <c r="Y3" s="4">
        <f>'LDV frt'!X4</f>
        <v>62478.13178970942</v>
      </c>
      <c r="Z3" s="4">
        <f>'LDV frt'!Y4</f>
        <v>62478.13178970942</v>
      </c>
      <c r="AA3" s="4">
        <f>'LDV frt'!Z4</f>
        <v>62478.13178970942</v>
      </c>
      <c r="AB3" s="4">
        <f>'LDV frt'!AA4</f>
        <v>62478.13178970942</v>
      </c>
      <c r="AC3" s="4">
        <f>'LDV frt'!AB4</f>
        <v>62478.13178970942</v>
      </c>
      <c r="AD3" s="4">
        <f>'LDV frt'!AC4</f>
        <v>62478.13178970942</v>
      </c>
      <c r="AE3" s="4">
        <f>'LDV frt'!AD4</f>
        <v>62478.13178970942</v>
      </c>
      <c r="AF3" s="4">
        <f>'LDV frt'!AE4</f>
        <v>62478.13178970942</v>
      </c>
      <c r="AG3" s="4">
        <f>'LDV frt'!AF4</f>
        <v>62478.13178970942</v>
      </c>
      <c r="AH3" s="4"/>
      <c r="AI3" s="4"/>
      <c r="AJ3" s="4"/>
    </row>
    <row r="4" spans="1:36" x14ac:dyDescent="0.35">
      <c r="A4" t="s">
        <v>2</v>
      </c>
      <c r="B4" s="24">
        <f t="shared" si="0"/>
        <v>47031.583457405504</v>
      </c>
      <c r="C4" s="4">
        <f>'LDV frt'!B5</f>
        <v>47031.583457405504</v>
      </c>
      <c r="D4" s="4">
        <f>'LDV frt'!C5</f>
        <v>47588.475295720898</v>
      </c>
      <c r="E4" s="4">
        <f>'LDV frt'!D5</f>
        <v>48145.367134036285</v>
      </c>
      <c r="F4" s="4">
        <f>'LDV frt'!E5</f>
        <v>48702.258972351679</v>
      </c>
      <c r="G4" s="4">
        <f>'LDV frt'!F5</f>
        <v>49722.294168927052</v>
      </c>
      <c r="H4" s="4">
        <f>'LDV frt'!G5</f>
        <v>50742.329365502417</v>
      </c>
      <c r="I4" s="4">
        <f>'LDV frt'!H5</f>
        <v>51762.36456207779</v>
      </c>
      <c r="J4" s="4">
        <f>'LDV frt'!I5</f>
        <v>52782.399758653162</v>
      </c>
      <c r="K4" s="4">
        <f>'LDV frt'!J5</f>
        <v>54188.766213272218</v>
      </c>
      <c r="L4" s="4">
        <f>'LDV frt'!K5</f>
        <v>55595.132667891274</v>
      </c>
      <c r="M4" s="4">
        <f>'LDV frt'!L5</f>
        <v>57001.499122510329</v>
      </c>
      <c r="N4" s="4">
        <f>'LDV frt'!M5</f>
        <v>57001.499122510329</v>
      </c>
      <c r="O4" s="4">
        <f>'LDV frt'!N5</f>
        <v>57001.499122510329</v>
      </c>
      <c r="P4" s="4">
        <f>'LDV frt'!O5</f>
        <v>57001.499122510329</v>
      </c>
      <c r="Q4" s="4">
        <f>'LDV frt'!P5</f>
        <v>57001.499122510329</v>
      </c>
      <c r="R4" s="4">
        <f>'LDV frt'!Q5</f>
        <v>57001.499122510329</v>
      </c>
      <c r="S4" s="4">
        <f>'LDV frt'!R5</f>
        <v>57001.499122510329</v>
      </c>
      <c r="T4" s="4">
        <f>'LDV frt'!S5</f>
        <v>57001.499122510329</v>
      </c>
      <c r="U4" s="4">
        <f>'LDV frt'!T5</f>
        <v>57001.499122510329</v>
      </c>
      <c r="V4" s="4">
        <f>'LDV frt'!U5</f>
        <v>57001.499122510329</v>
      </c>
      <c r="W4" s="4">
        <f>'LDV frt'!V5</f>
        <v>57001.499122510329</v>
      </c>
      <c r="X4" s="4">
        <f>'LDV frt'!W5</f>
        <v>57001.499122510329</v>
      </c>
      <c r="Y4" s="4">
        <f>'LDV frt'!X5</f>
        <v>57001.499122510329</v>
      </c>
      <c r="Z4" s="4">
        <f>'LDV frt'!Y5</f>
        <v>57001.499122510329</v>
      </c>
      <c r="AA4" s="4">
        <f>'LDV frt'!Z5</f>
        <v>57001.499122510329</v>
      </c>
      <c r="AB4" s="4">
        <f>'LDV frt'!AA5</f>
        <v>57001.499122510329</v>
      </c>
      <c r="AC4" s="4">
        <f>'LDV frt'!AB5</f>
        <v>57001.499122510329</v>
      </c>
      <c r="AD4" s="4">
        <f>'LDV frt'!AC5</f>
        <v>57001.499122510329</v>
      </c>
      <c r="AE4" s="4">
        <f>'LDV frt'!AD5</f>
        <v>57001.499122510329</v>
      </c>
      <c r="AF4" s="4">
        <f>'LDV frt'!AE5</f>
        <v>57001.499122510329</v>
      </c>
      <c r="AG4" s="4">
        <f>'LDV frt'!AF5</f>
        <v>57001.499122510329</v>
      </c>
      <c r="AH4" s="4"/>
      <c r="AI4" s="4"/>
      <c r="AJ4" s="4"/>
    </row>
    <row r="5" spans="1:36" x14ac:dyDescent="0.35">
      <c r="A5" t="s">
        <v>3</v>
      </c>
      <c r="B5" s="24">
        <f t="shared" si="0"/>
        <v>52508.216124604602</v>
      </c>
      <c r="C5" s="4">
        <f>'LDV frt'!B6</f>
        <v>52508.216124604602</v>
      </c>
      <c r="D5" s="4">
        <f>'LDV frt'!C6</f>
        <v>53065.107962919996</v>
      </c>
      <c r="E5" s="4">
        <f>'LDV frt'!D6</f>
        <v>53621.999801235383</v>
      </c>
      <c r="F5" s="4">
        <f>'LDV frt'!E6</f>
        <v>54178.891639550777</v>
      </c>
      <c r="G5" s="4">
        <f>'LDV frt'!F6</f>
        <v>55198.926836126149</v>
      </c>
      <c r="H5" s="4">
        <f>'LDV frt'!G6</f>
        <v>56218.962032701515</v>
      </c>
      <c r="I5" s="4">
        <f>'LDV frt'!H6</f>
        <v>57238.997229276894</v>
      </c>
      <c r="J5" s="4">
        <f>'LDV frt'!I6</f>
        <v>58259.032425852267</v>
      </c>
      <c r="K5" s="4">
        <f>'LDV frt'!J6</f>
        <v>59665.398880471315</v>
      </c>
      <c r="L5" s="4">
        <f>'LDV frt'!K6</f>
        <v>61071.765335090371</v>
      </c>
      <c r="M5" s="4">
        <f>'LDV frt'!L6</f>
        <v>62478.13178970942</v>
      </c>
      <c r="N5" s="4">
        <f>'LDV frt'!M6</f>
        <v>62478.13178970942</v>
      </c>
      <c r="O5" s="4">
        <f>'LDV frt'!N6</f>
        <v>62478.13178970942</v>
      </c>
      <c r="P5" s="4">
        <f>'LDV frt'!O6</f>
        <v>62478.13178970942</v>
      </c>
      <c r="Q5" s="4">
        <f>'LDV frt'!P6</f>
        <v>62478.13178970942</v>
      </c>
      <c r="R5" s="4">
        <f>'LDV frt'!Q6</f>
        <v>62478.13178970942</v>
      </c>
      <c r="S5" s="4">
        <f>'LDV frt'!R6</f>
        <v>62478.13178970942</v>
      </c>
      <c r="T5" s="4">
        <f>'LDV frt'!S6</f>
        <v>62478.13178970942</v>
      </c>
      <c r="U5" s="4">
        <f>'LDV frt'!T6</f>
        <v>62478.13178970942</v>
      </c>
      <c r="V5" s="4">
        <f>'LDV frt'!U6</f>
        <v>62478.13178970942</v>
      </c>
      <c r="W5" s="4">
        <f>'LDV frt'!V6</f>
        <v>62478.13178970942</v>
      </c>
      <c r="X5" s="4">
        <f>'LDV frt'!W6</f>
        <v>62478.13178970942</v>
      </c>
      <c r="Y5" s="4">
        <f>'LDV frt'!X6</f>
        <v>62478.13178970942</v>
      </c>
      <c r="Z5" s="4">
        <f>'LDV frt'!Y6</f>
        <v>62478.13178970942</v>
      </c>
      <c r="AA5" s="4">
        <f>'LDV frt'!Z6</f>
        <v>62478.13178970942</v>
      </c>
      <c r="AB5" s="4">
        <f>'LDV frt'!AA6</f>
        <v>62478.13178970942</v>
      </c>
      <c r="AC5" s="4">
        <f>'LDV frt'!AB6</f>
        <v>62478.13178970942</v>
      </c>
      <c r="AD5" s="4">
        <f>'LDV frt'!AC6</f>
        <v>62478.13178970942</v>
      </c>
      <c r="AE5" s="4">
        <f>'LDV frt'!AD6</f>
        <v>62478.13178970942</v>
      </c>
      <c r="AF5" s="4">
        <f>'LDV frt'!AE6</f>
        <v>62478.13178970942</v>
      </c>
      <c r="AG5" s="4">
        <f>'LDV frt'!AF6</f>
        <v>62478.13178970942</v>
      </c>
      <c r="AH5" s="4"/>
      <c r="AI5" s="4"/>
      <c r="AJ5" s="4"/>
    </row>
    <row r="6" spans="1:36" x14ac:dyDescent="0.35">
      <c r="A6" t="s">
        <v>4</v>
      </c>
      <c r="B6" s="24">
        <f t="shared" si="0"/>
        <v>999999</v>
      </c>
      <c r="C6" s="4">
        <f>'LDV frt'!B7</f>
        <v>999999</v>
      </c>
      <c r="D6" s="4">
        <f>'LDV frt'!C7</f>
        <v>999999</v>
      </c>
      <c r="E6" s="4">
        <f>'LDV frt'!D7</f>
        <v>999999</v>
      </c>
      <c r="F6" s="4">
        <f>'LDV frt'!E7</f>
        <v>999999</v>
      </c>
      <c r="G6" s="4">
        <f>'LDV frt'!F7</f>
        <v>999999</v>
      </c>
      <c r="H6" s="4">
        <f>'LDV frt'!G7</f>
        <v>999999</v>
      </c>
      <c r="I6" s="4">
        <f>'LDV frt'!H7</f>
        <v>999999</v>
      </c>
      <c r="J6" s="4">
        <f>'LDV frt'!I7</f>
        <v>999999</v>
      </c>
      <c r="K6" s="4">
        <f>'LDV frt'!J7</f>
        <v>999999</v>
      </c>
      <c r="L6" s="4">
        <f>'LDV frt'!K7</f>
        <v>999999</v>
      </c>
      <c r="M6" s="4">
        <f>'LDV frt'!L7</f>
        <v>999999</v>
      </c>
      <c r="N6" s="4">
        <f>'LDV frt'!M7</f>
        <v>999999</v>
      </c>
      <c r="O6" s="4">
        <f>'LDV frt'!N7</f>
        <v>999999</v>
      </c>
      <c r="P6" s="4">
        <f>'LDV frt'!O7</f>
        <v>999999</v>
      </c>
      <c r="Q6" s="4">
        <f>'LDV frt'!P7</f>
        <v>999999</v>
      </c>
      <c r="R6" s="4">
        <f>'LDV frt'!Q7</f>
        <v>999999</v>
      </c>
      <c r="S6" s="4">
        <f>'LDV frt'!R7</f>
        <v>999999</v>
      </c>
      <c r="T6" s="4">
        <f>'LDV frt'!S7</f>
        <v>999999</v>
      </c>
      <c r="U6" s="4">
        <f>'LDV frt'!T7</f>
        <v>999999</v>
      </c>
      <c r="V6" s="4">
        <f>'LDV frt'!U7</f>
        <v>999999</v>
      </c>
      <c r="W6" s="4">
        <f>'LDV frt'!V7</f>
        <v>999999</v>
      </c>
      <c r="X6" s="4">
        <f>'LDV frt'!W7</f>
        <v>999999</v>
      </c>
      <c r="Y6" s="4">
        <f>'LDV frt'!X7</f>
        <v>999999</v>
      </c>
      <c r="Z6" s="4">
        <f>'LDV frt'!Y7</f>
        <v>999999</v>
      </c>
      <c r="AA6" s="4">
        <f>'LDV frt'!Z7</f>
        <v>999999</v>
      </c>
      <c r="AB6" s="4">
        <f>'LDV frt'!AA7</f>
        <v>999999</v>
      </c>
      <c r="AC6" s="4">
        <f>'LDV frt'!AB7</f>
        <v>999999</v>
      </c>
      <c r="AD6" s="4">
        <f>'LDV frt'!AC7</f>
        <v>999999</v>
      </c>
      <c r="AE6" s="4">
        <f>'LDV frt'!AD7</f>
        <v>999999</v>
      </c>
      <c r="AF6" s="4">
        <f>'LDV frt'!AE7</f>
        <v>999999</v>
      </c>
      <c r="AG6" s="4">
        <f>'LDV frt'!AF7</f>
        <v>999999</v>
      </c>
      <c r="AH6" s="4"/>
      <c r="AI6" s="4"/>
      <c r="AJ6" s="4"/>
    </row>
    <row r="7" spans="1:36" s="5" customFormat="1" x14ac:dyDescent="0.35">
      <c r="A7" s="5" t="s">
        <v>565</v>
      </c>
      <c r="B7" s="24">
        <f t="shared" si="0"/>
        <v>999999</v>
      </c>
      <c r="C7" s="4">
        <f>'LDV frt'!B8</f>
        <v>999999</v>
      </c>
      <c r="D7" s="4">
        <f>'LDV frt'!C8</f>
        <v>999999</v>
      </c>
      <c r="E7" s="4">
        <f>'LDV frt'!D8</f>
        <v>999999</v>
      </c>
      <c r="F7" s="4">
        <f>'LDV frt'!E8</f>
        <v>999999</v>
      </c>
      <c r="G7" s="4">
        <f>'LDV frt'!F8</f>
        <v>999999</v>
      </c>
      <c r="H7" s="4">
        <f>'LDV frt'!G8</f>
        <v>999999</v>
      </c>
      <c r="I7" s="4">
        <f>'LDV frt'!H8</f>
        <v>999999</v>
      </c>
      <c r="J7" s="4">
        <f>'LDV frt'!I8</f>
        <v>999999</v>
      </c>
      <c r="K7" s="4">
        <f>'LDV frt'!J8</f>
        <v>999999</v>
      </c>
      <c r="L7" s="4">
        <f>'LDV frt'!K8</f>
        <v>999999</v>
      </c>
      <c r="M7" s="4">
        <f>'LDV frt'!L8</f>
        <v>999999</v>
      </c>
      <c r="N7" s="4">
        <f>'LDV frt'!M8</f>
        <v>999999</v>
      </c>
      <c r="O7" s="4">
        <f>'LDV frt'!N8</f>
        <v>999999</v>
      </c>
      <c r="P7" s="4">
        <f>'LDV frt'!O8</f>
        <v>999999</v>
      </c>
      <c r="Q7" s="4">
        <f>'LDV frt'!P8</f>
        <v>999999</v>
      </c>
      <c r="R7" s="4">
        <f>'LDV frt'!Q8</f>
        <v>999999</v>
      </c>
      <c r="S7" s="4">
        <f>'LDV frt'!R8</f>
        <v>999999</v>
      </c>
      <c r="T7" s="4">
        <f>'LDV frt'!S8</f>
        <v>999999</v>
      </c>
      <c r="U7" s="4">
        <f>'LDV frt'!T8</f>
        <v>999999</v>
      </c>
      <c r="V7" s="4">
        <f>'LDV frt'!U8</f>
        <v>999999</v>
      </c>
      <c r="W7" s="4">
        <f>'LDV frt'!V8</f>
        <v>999999</v>
      </c>
      <c r="X7" s="4">
        <f>'LDV frt'!W8</f>
        <v>999999</v>
      </c>
      <c r="Y7" s="4">
        <f>'LDV frt'!X8</f>
        <v>999999</v>
      </c>
      <c r="Z7" s="4">
        <f>'LDV frt'!Y8</f>
        <v>999999</v>
      </c>
      <c r="AA7" s="4">
        <f>'LDV frt'!Z8</f>
        <v>999999</v>
      </c>
      <c r="AB7" s="4">
        <f>'LDV frt'!AA8</f>
        <v>999999</v>
      </c>
      <c r="AC7" s="4">
        <f>'LDV frt'!AB8</f>
        <v>999999</v>
      </c>
      <c r="AD7" s="4">
        <f>'LDV frt'!AC8</f>
        <v>999999</v>
      </c>
      <c r="AE7" s="4">
        <f>'LDV frt'!AD8</f>
        <v>999999</v>
      </c>
      <c r="AF7" s="4">
        <f>'LDV frt'!AE8</f>
        <v>999999</v>
      </c>
      <c r="AG7" s="4">
        <f>'LDV frt'!AF8</f>
        <v>999999</v>
      </c>
      <c r="AH7" s="24"/>
      <c r="AI7" s="24"/>
      <c r="AJ7" s="24"/>
    </row>
    <row r="8" spans="1:36" s="5" customFormat="1" x14ac:dyDescent="0.35">
      <c r="A8" s="5" t="s">
        <v>566</v>
      </c>
      <c r="B8" s="24">
        <f t="shared" si="0"/>
        <v>73971.578081736516</v>
      </c>
      <c r="C8" s="4">
        <f>'LDV frt'!B9</f>
        <v>73971.578081736516</v>
      </c>
      <c r="D8" s="4">
        <f>'LDV frt'!C9</f>
        <v>68204.946439961248</v>
      </c>
      <c r="E8" s="4">
        <f>'LDV frt'!D9</f>
        <v>64733.446855169728</v>
      </c>
      <c r="F8" s="4">
        <f>'LDV frt'!E9</f>
        <v>62304.832886024553</v>
      </c>
      <c r="G8" s="4">
        <f>'LDV frt'!F9</f>
        <v>60440.102726311838</v>
      </c>
      <c r="H8" s="4">
        <f>'LDV frt'!G9</f>
        <v>59021.97383075775</v>
      </c>
      <c r="I8" s="4">
        <f>'LDV frt'!H9</f>
        <v>57833.927437132385</v>
      </c>
      <c r="J8" s="4">
        <f>'LDV frt'!I9</f>
        <v>56808.472766658742</v>
      </c>
      <c r="K8" s="4">
        <f>'LDV frt'!J9</f>
        <v>55924.674070199042</v>
      </c>
      <c r="L8" s="4">
        <f>'LDV frt'!K9</f>
        <v>55151.088378236716</v>
      </c>
      <c r="M8" s="4">
        <f>'LDV frt'!L9</f>
        <v>54465.598827462272</v>
      </c>
      <c r="N8" s="4">
        <f>'LDV frt'!M9</f>
        <v>53880.443109769389</v>
      </c>
      <c r="O8" s="4">
        <f>'LDV frt'!N9</f>
        <v>53289.264943380869</v>
      </c>
      <c r="P8" s="4">
        <f>'LDV frt'!O9</f>
        <v>52741.701042970097</v>
      </c>
      <c r="Q8" s="4">
        <f>'LDV frt'!P9</f>
        <v>52230.351768394808</v>
      </c>
      <c r="R8" s="4">
        <f>'LDV frt'!Q9</f>
        <v>51749.351463588078</v>
      </c>
      <c r="S8" s="4">
        <f>'LDV frt'!R9</f>
        <v>51290.937936271759</v>
      </c>
      <c r="T8" s="4">
        <f>'LDV frt'!S9</f>
        <v>50855.553161933021</v>
      </c>
      <c r="U8" s="4">
        <f>'LDV frt'!T9</f>
        <v>50439.009209714946</v>
      </c>
      <c r="V8" s="4">
        <f>'LDV frt'!U9</f>
        <v>50037.427762966799</v>
      </c>
      <c r="W8" s="4">
        <f>'LDV frt'!V9</f>
        <v>49647.97414367996</v>
      </c>
      <c r="X8" s="4">
        <f>'LDV frt'!W9</f>
        <v>49271.229722893964</v>
      </c>
      <c r="Y8" s="4">
        <f>'LDV frt'!X9</f>
        <v>48904.977061149963</v>
      </c>
      <c r="Z8" s="4">
        <f>'LDV frt'!Y9</f>
        <v>48547.714703072445</v>
      </c>
      <c r="AA8" s="4">
        <f>'LDV frt'!Z9</f>
        <v>48198.218177456503</v>
      </c>
      <c r="AB8" s="4">
        <f>'LDV frt'!AA9</f>
        <v>47855.44652381268</v>
      </c>
      <c r="AC8" s="4">
        <f>'LDV frt'!AB9</f>
        <v>47518.666373094566</v>
      </c>
      <c r="AD8" s="4">
        <f>'LDV frt'!AC9</f>
        <v>47187.002790546409</v>
      </c>
      <c r="AE8" s="4">
        <f>'LDV frt'!AD9</f>
        <v>46859.825499554638</v>
      </c>
      <c r="AF8" s="4">
        <f>'LDV frt'!AE9</f>
        <v>46536.629753199741</v>
      </c>
      <c r="AG8" s="4">
        <f>'LDV frt'!AF9</f>
        <v>46216.977106939863</v>
      </c>
      <c r="AH8" s="24"/>
      <c r="AI8" s="24"/>
      <c r="AJ8" s="24"/>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26">
    <tabColor theme="3"/>
  </sheetPr>
  <dimension ref="A1:AJ8"/>
  <sheetViews>
    <sheetView topLeftCell="R1" workbookViewId="0">
      <selection activeCell="B2" sqref="B2:AG8"/>
    </sheetView>
  </sheetViews>
  <sheetFormatPr defaultRowHeight="14.5" x14ac:dyDescent="0.35"/>
  <cols>
    <col min="1" max="1" width="24.3632812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C2</f>
        <v>170105.71381451821</v>
      </c>
      <c r="C2" s="4">
        <f>'HDV frt'!B3</f>
        <v>170105.71381451821</v>
      </c>
      <c r="D2" s="4">
        <f>'HDV frt'!C3</f>
        <v>158150.03934815663</v>
      </c>
      <c r="E2" s="4">
        <f>'HDV frt'!D3</f>
        <v>150378.65012075135</v>
      </c>
      <c r="F2" s="4">
        <f>'HDV frt'!E3</f>
        <v>144793.31276680075</v>
      </c>
      <c r="G2" s="4">
        <f>'HDV frt'!F3</f>
        <v>140415.59869107281</v>
      </c>
      <c r="H2" s="4">
        <f>'HDV frt'!G3</f>
        <v>137175.31502959738</v>
      </c>
      <c r="I2" s="4">
        <f>'HDV frt'!H3</f>
        <v>134428.4852892202</v>
      </c>
      <c r="J2" s="4">
        <f>'HDV frt'!I3</f>
        <v>132025.79821888031</v>
      </c>
      <c r="K2" s="4">
        <f>'HDV frt'!J3</f>
        <v>129960.24090755433</v>
      </c>
      <c r="L2" s="4">
        <f>'HDV frt'!K3</f>
        <v>128158.30529697014</v>
      </c>
      <c r="M2" s="4">
        <f>'HDV frt'!L3</f>
        <v>126568.09584555485</v>
      </c>
      <c r="N2" s="4">
        <f>'HDV frt'!M3</f>
        <v>125159.52078964461</v>
      </c>
      <c r="O2" s="4">
        <f>'HDV frt'!N3</f>
        <v>123925.6309719526</v>
      </c>
      <c r="P2" s="4">
        <f>'HDV frt'!O3</f>
        <v>122858.83969782633</v>
      </c>
      <c r="Q2" s="4">
        <f>'HDV frt'!P3</f>
        <v>121931.0953231723</v>
      </c>
      <c r="R2" s="4">
        <f>'HDV frt'!Q3</f>
        <v>121120.14779392551</v>
      </c>
      <c r="S2" s="4">
        <f>'HDV frt'!R3</f>
        <v>120395.26780905634</v>
      </c>
      <c r="T2" s="4">
        <f>'HDV frt'!S3</f>
        <v>119759.77056286675</v>
      </c>
      <c r="U2" s="4">
        <f>'HDV frt'!T3</f>
        <v>119197.33509879321</v>
      </c>
      <c r="V2" s="4">
        <f>'HDV frt'!U3</f>
        <v>118692.59676632099</v>
      </c>
      <c r="W2" s="4">
        <f>'HDV frt'!V3</f>
        <v>118234.33490781266</v>
      </c>
      <c r="X2" s="4">
        <f>'HDV frt'!W3</f>
        <v>117825.86471757021</v>
      </c>
      <c r="Y2" s="4">
        <f>'HDV frt'!X3</f>
        <v>117458.38817994612</v>
      </c>
      <c r="Z2" s="4">
        <f>'HDV frt'!Y3</f>
        <v>117126.03995117541</v>
      </c>
      <c r="AA2" s="4">
        <f>'HDV frt'!Z3</f>
        <v>116824.03850101487</v>
      </c>
      <c r="AB2" s="4">
        <f>'HDV frt'!AA3</f>
        <v>116548.30359032366</v>
      </c>
      <c r="AC2" s="4">
        <f>'HDV frt'!AB3</f>
        <v>116296.03005469241</v>
      </c>
      <c r="AD2" s="4">
        <f>'HDV frt'!AC3</f>
        <v>116063.71143860943</v>
      </c>
      <c r="AE2" s="4">
        <f>'HDV frt'!AD3</f>
        <v>115848.86134634829</v>
      </c>
      <c r="AF2" s="4">
        <f>'HDV frt'!AE3</f>
        <v>115649.50341207514</v>
      </c>
      <c r="AG2" s="4">
        <f>'HDV frt'!AF3</f>
        <v>115463.91628490237</v>
      </c>
      <c r="AH2" s="4"/>
      <c r="AI2" s="4"/>
      <c r="AJ2" s="4"/>
    </row>
    <row r="3" spans="1:36" x14ac:dyDescent="0.35">
      <c r="A3" t="s">
        <v>1</v>
      </c>
      <c r="B3" s="4">
        <f t="shared" ref="B3:B8" si="0">C3</f>
        <v>99455.829058567353</v>
      </c>
      <c r="C3" s="4">
        <f>'HDV frt'!B4</f>
        <v>99455.829058567353</v>
      </c>
      <c r="D3" s="4">
        <f>'HDV frt'!C4</f>
        <v>99455.829058567353</v>
      </c>
      <c r="E3" s="4">
        <f>'HDV frt'!D4</f>
        <v>99455.829058567353</v>
      </c>
      <c r="F3" s="4">
        <f>'HDV frt'!E4</f>
        <v>108042.18230062367</v>
      </c>
      <c r="G3" s="4">
        <f>'HDV frt'!F4</f>
        <v>108042.18230062367</v>
      </c>
      <c r="H3" s="4">
        <f>'HDV frt'!G4</f>
        <v>116628.53554267999</v>
      </c>
      <c r="I3" s="4">
        <f>'HDV frt'!H4</f>
        <v>125214.88878473631</v>
      </c>
      <c r="J3" s="4">
        <f>'HDV frt'!I4</f>
        <v>135791.20865778497</v>
      </c>
      <c r="K3" s="4">
        <f>'HDV frt'!J4</f>
        <v>146367.52853083366</v>
      </c>
      <c r="L3" s="4">
        <f>'HDV frt'!K4</f>
        <v>156943.84840388232</v>
      </c>
      <c r="M3" s="4">
        <f>'HDV frt'!L4</f>
        <v>167520.16827693101</v>
      </c>
      <c r="N3" s="4">
        <f>'HDV frt'!M4</f>
        <v>167520.16827693101</v>
      </c>
      <c r="O3" s="4">
        <f>'HDV frt'!N4</f>
        <v>167520.16827693101</v>
      </c>
      <c r="P3" s="4">
        <f>'HDV frt'!O4</f>
        <v>167520.16827693101</v>
      </c>
      <c r="Q3" s="4">
        <f>'HDV frt'!P4</f>
        <v>167520.16827693101</v>
      </c>
      <c r="R3" s="4">
        <f>'HDV frt'!Q4</f>
        <v>167520.16827693101</v>
      </c>
      <c r="S3" s="4">
        <f>'HDV frt'!R4</f>
        <v>167520.16827693101</v>
      </c>
      <c r="T3" s="4">
        <f>'HDV frt'!S4</f>
        <v>167520.16827693101</v>
      </c>
      <c r="U3" s="4">
        <f>'HDV frt'!T4</f>
        <v>167520.16827693101</v>
      </c>
      <c r="V3" s="4">
        <f>'HDV frt'!U4</f>
        <v>167520.16827693101</v>
      </c>
      <c r="W3" s="4">
        <f>'HDV frt'!V4</f>
        <v>167520.16827693101</v>
      </c>
      <c r="X3" s="4">
        <f>'HDV frt'!W4</f>
        <v>167520.16827693101</v>
      </c>
      <c r="Y3" s="4">
        <f>'HDV frt'!X4</f>
        <v>167520.16827693101</v>
      </c>
      <c r="Z3" s="4">
        <f>'HDV frt'!Y4</f>
        <v>167520.16827693101</v>
      </c>
      <c r="AA3" s="4">
        <f>'HDV frt'!Z4</f>
        <v>167520.16827693101</v>
      </c>
      <c r="AB3" s="4">
        <f>'HDV frt'!AA4</f>
        <v>167520.16827693101</v>
      </c>
      <c r="AC3" s="4">
        <f>'HDV frt'!AB4</f>
        <v>167520.16827693101</v>
      </c>
      <c r="AD3" s="4">
        <f>'HDV frt'!AC4</f>
        <v>167520.16827693101</v>
      </c>
      <c r="AE3" s="4">
        <f>'HDV frt'!AD4</f>
        <v>167520.16827693101</v>
      </c>
      <c r="AF3" s="4">
        <f>'HDV frt'!AE4</f>
        <v>167520.16827693101</v>
      </c>
      <c r="AG3" s="4">
        <f>'HDV frt'!AF4</f>
        <v>167520.16827693101</v>
      </c>
      <c r="AH3" s="4"/>
      <c r="AI3" s="4"/>
      <c r="AJ3" s="4"/>
    </row>
    <row r="4" spans="1:36" x14ac:dyDescent="0.35">
      <c r="A4" t="s">
        <v>2</v>
      </c>
      <c r="B4" s="4">
        <f t="shared" si="0"/>
        <v>999999</v>
      </c>
      <c r="C4" s="4">
        <f>'HDV frt'!B5</f>
        <v>999999</v>
      </c>
      <c r="D4" s="4">
        <f>'HDV frt'!C5</f>
        <v>999999</v>
      </c>
      <c r="E4" s="4">
        <f>'HDV frt'!D5</f>
        <v>999999</v>
      </c>
      <c r="F4" s="4">
        <f>'HDV frt'!E5</f>
        <v>999999</v>
      </c>
      <c r="G4" s="4">
        <f>'HDV frt'!F5</f>
        <v>999999</v>
      </c>
      <c r="H4" s="4">
        <f>'HDV frt'!G5</f>
        <v>999999</v>
      </c>
      <c r="I4" s="4">
        <f>'HDV frt'!H5</f>
        <v>999999</v>
      </c>
      <c r="J4" s="4">
        <f>'HDV frt'!I5</f>
        <v>999999</v>
      </c>
      <c r="K4" s="4">
        <f>'HDV frt'!J5</f>
        <v>999999</v>
      </c>
      <c r="L4" s="4">
        <f>'HDV frt'!K5</f>
        <v>999999</v>
      </c>
      <c r="M4" s="4">
        <f>'HDV frt'!L5</f>
        <v>999999</v>
      </c>
      <c r="N4" s="4">
        <f>'HDV frt'!M5</f>
        <v>999999</v>
      </c>
      <c r="O4" s="4">
        <f>'HDV frt'!N5</f>
        <v>999999</v>
      </c>
      <c r="P4" s="4">
        <f>'HDV frt'!O5</f>
        <v>999999</v>
      </c>
      <c r="Q4" s="4">
        <f>'HDV frt'!P5</f>
        <v>999999</v>
      </c>
      <c r="R4" s="4">
        <f>'HDV frt'!Q5</f>
        <v>999999</v>
      </c>
      <c r="S4" s="4">
        <f>'HDV frt'!R5</f>
        <v>999999</v>
      </c>
      <c r="T4" s="4">
        <f>'HDV frt'!S5</f>
        <v>999999</v>
      </c>
      <c r="U4" s="4">
        <f>'HDV frt'!T5</f>
        <v>999999</v>
      </c>
      <c r="V4" s="4">
        <f>'HDV frt'!U5</f>
        <v>999999</v>
      </c>
      <c r="W4" s="4">
        <f>'HDV frt'!V5</f>
        <v>999999</v>
      </c>
      <c r="X4" s="4">
        <f>'HDV frt'!W5</f>
        <v>999999</v>
      </c>
      <c r="Y4" s="4">
        <f>'HDV frt'!X5</f>
        <v>999999</v>
      </c>
      <c r="Z4" s="4">
        <f>'HDV frt'!Y5</f>
        <v>999999</v>
      </c>
      <c r="AA4" s="4">
        <f>'HDV frt'!Z5</f>
        <v>999999</v>
      </c>
      <c r="AB4" s="4">
        <f>'HDV frt'!AA5</f>
        <v>999999</v>
      </c>
      <c r="AC4" s="4">
        <f>'HDV frt'!AB5</f>
        <v>999999</v>
      </c>
      <c r="AD4" s="4">
        <f>'HDV frt'!AC5</f>
        <v>999999</v>
      </c>
      <c r="AE4" s="4">
        <f>'HDV frt'!AD5</f>
        <v>999999</v>
      </c>
      <c r="AF4" s="4">
        <f>'HDV frt'!AE5</f>
        <v>999999</v>
      </c>
      <c r="AG4" s="4">
        <f>'HDV frt'!AF5</f>
        <v>999999</v>
      </c>
      <c r="AH4" s="4"/>
      <c r="AI4" s="4"/>
      <c r="AJ4" s="4"/>
    </row>
    <row r="5" spans="1:36" x14ac:dyDescent="0.35">
      <c r="A5" t="s">
        <v>3</v>
      </c>
      <c r="B5" s="4">
        <f t="shared" si="0"/>
        <v>99455.829058567353</v>
      </c>
      <c r="C5" s="24">
        <f>'HDV frt'!B6</f>
        <v>99455.829058567353</v>
      </c>
      <c r="D5" s="24">
        <f>'HDV frt'!C6</f>
        <v>99455.829058567353</v>
      </c>
      <c r="E5" s="24">
        <f>'HDV frt'!D6</f>
        <v>99455.829058567353</v>
      </c>
      <c r="F5" s="24">
        <f>'HDV frt'!E6</f>
        <v>108042.18230062367</v>
      </c>
      <c r="G5" s="24">
        <f>'HDV frt'!F6</f>
        <v>108042.18230062367</v>
      </c>
      <c r="H5" s="24">
        <f>'HDV frt'!G6</f>
        <v>116628.53554267999</v>
      </c>
      <c r="I5" s="24">
        <f>'HDV frt'!H6</f>
        <v>125214.88878473631</v>
      </c>
      <c r="J5" s="24">
        <f>'HDV frt'!I6</f>
        <v>135791.20865778497</v>
      </c>
      <c r="K5" s="24">
        <f>'HDV frt'!J6</f>
        <v>146367.52853083366</v>
      </c>
      <c r="L5" s="24">
        <f>'HDV frt'!K6</f>
        <v>156943.84840388232</v>
      </c>
      <c r="M5" s="24">
        <f>'HDV frt'!L6</f>
        <v>167520.16827693101</v>
      </c>
      <c r="N5" s="24">
        <f>'HDV frt'!M6</f>
        <v>167520.16827693101</v>
      </c>
      <c r="O5" s="24">
        <f>'HDV frt'!N6</f>
        <v>167520.16827693101</v>
      </c>
      <c r="P5" s="24">
        <f>'HDV frt'!O6</f>
        <v>167520.16827693101</v>
      </c>
      <c r="Q5" s="24">
        <f>'HDV frt'!P6</f>
        <v>167520.16827693101</v>
      </c>
      <c r="R5" s="24">
        <f>'HDV frt'!Q6</f>
        <v>167520.16827693101</v>
      </c>
      <c r="S5" s="24">
        <f>'HDV frt'!R6</f>
        <v>167520.16827693101</v>
      </c>
      <c r="T5" s="24">
        <f>'HDV frt'!S6</f>
        <v>167520.16827693101</v>
      </c>
      <c r="U5" s="24">
        <f>'HDV frt'!T6</f>
        <v>167520.16827693101</v>
      </c>
      <c r="V5" s="24">
        <f>'HDV frt'!U6</f>
        <v>167520.16827693101</v>
      </c>
      <c r="W5" s="24">
        <f>'HDV frt'!V6</f>
        <v>167520.16827693101</v>
      </c>
      <c r="X5" s="24">
        <f>'HDV frt'!W6</f>
        <v>167520.16827693101</v>
      </c>
      <c r="Y5" s="24">
        <f>'HDV frt'!X6</f>
        <v>167520.16827693101</v>
      </c>
      <c r="Z5" s="24">
        <f>'HDV frt'!Y6</f>
        <v>167520.16827693101</v>
      </c>
      <c r="AA5" s="24">
        <f>'HDV frt'!Z6</f>
        <v>167520.16827693101</v>
      </c>
      <c r="AB5" s="24">
        <f>'HDV frt'!AA6</f>
        <v>167520.16827693101</v>
      </c>
      <c r="AC5" s="24">
        <f>'HDV frt'!AB6</f>
        <v>167520.16827693101</v>
      </c>
      <c r="AD5" s="24">
        <f>'HDV frt'!AC6</f>
        <v>167520.16827693101</v>
      </c>
      <c r="AE5" s="24">
        <f>'HDV frt'!AD6</f>
        <v>167520.16827693101</v>
      </c>
      <c r="AF5" s="24">
        <f>'HDV frt'!AE6</f>
        <v>167520.16827693101</v>
      </c>
      <c r="AG5" s="24">
        <f>'HDV frt'!AF6</f>
        <v>167520.16827693101</v>
      </c>
    </row>
    <row r="6" spans="1:36" x14ac:dyDescent="0.35">
      <c r="A6" t="s">
        <v>4</v>
      </c>
      <c r="B6" s="4">
        <f t="shared" si="0"/>
        <v>999999</v>
      </c>
      <c r="C6" s="4">
        <f>'HDV frt'!B7</f>
        <v>999999</v>
      </c>
      <c r="D6" s="4">
        <f>'HDV frt'!C7</f>
        <v>999999</v>
      </c>
      <c r="E6" s="4">
        <f>'HDV frt'!D7</f>
        <v>999999</v>
      </c>
      <c r="F6" s="4">
        <f>'HDV frt'!E7</f>
        <v>999999</v>
      </c>
      <c r="G6" s="4">
        <f>'HDV frt'!F7</f>
        <v>999999</v>
      </c>
      <c r="H6" s="4">
        <f>'HDV frt'!G7</f>
        <v>999999</v>
      </c>
      <c r="I6" s="4">
        <f>'HDV frt'!H7</f>
        <v>999999</v>
      </c>
      <c r="J6" s="4">
        <f>'HDV frt'!I7</f>
        <v>999999</v>
      </c>
      <c r="K6" s="4">
        <f>'HDV frt'!J7</f>
        <v>999999</v>
      </c>
      <c r="L6" s="4">
        <f>'HDV frt'!K7</f>
        <v>999999</v>
      </c>
      <c r="M6" s="4">
        <f>'HDV frt'!L7</f>
        <v>999999</v>
      </c>
      <c r="N6" s="4">
        <f>'HDV frt'!M7</f>
        <v>999999</v>
      </c>
      <c r="O6" s="4">
        <f>'HDV frt'!N7</f>
        <v>999999</v>
      </c>
      <c r="P6" s="4">
        <f>'HDV frt'!O7</f>
        <v>999999</v>
      </c>
      <c r="Q6" s="4">
        <f>'HDV frt'!P7</f>
        <v>999999</v>
      </c>
      <c r="R6" s="4">
        <f>'HDV frt'!Q7</f>
        <v>999999</v>
      </c>
      <c r="S6" s="4">
        <f>'HDV frt'!R7</f>
        <v>999999</v>
      </c>
      <c r="T6" s="4">
        <f>'HDV frt'!S7</f>
        <v>999999</v>
      </c>
      <c r="U6" s="4">
        <f>'HDV frt'!T7</f>
        <v>999999</v>
      </c>
      <c r="V6" s="4">
        <f>'HDV frt'!U7</f>
        <v>999999</v>
      </c>
      <c r="W6" s="4">
        <f>'HDV frt'!V7</f>
        <v>999999</v>
      </c>
      <c r="X6" s="4">
        <f>'HDV frt'!W7</f>
        <v>999999</v>
      </c>
      <c r="Y6" s="4">
        <f>'HDV frt'!X7</f>
        <v>999999</v>
      </c>
      <c r="Z6" s="4">
        <f>'HDV frt'!Y7</f>
        <v>999999</v>
      </c>
      <c r="AA6" s="4">
        <f>'HDV frt'!Z7</f>
        <v>999999</v>
      </c>
      <c r="AB6" s="4">
        <f>'HDV frt'!AA7</f>
        <v>999999</v>
      </c>
      <c r="AC6" s="4">
        <f>'HDV frt'!AB7</f>
        <v>999999</v>
      </c>
      <c r="AD6" s="4">
        <f>'HDV frt'!AC7</f>
        <v>999999</v>
      </c>
      <c r="AE6" s="4">
        <f>'HDV frt'!AD7</f>
        <v>999999</v>
      </c>
      <c r="AF6" s="4">
        <f>'HDV frt'!AE7</f>
        <v>999999</v>
      </c>
      <c r="AG6" s="4">
        <f>'HDV frt'!AF7</f>
        <v>999999</v>
      </c>
      <c r="AH6" s="4"/>
      <c r="AI6" s="4"/>
      <c r="AJ6" s="4"/>
    </row>
    <row r="7" spans="1:36" s="5" customFormat="1" x14ac:dyDescent="0.35">
      <c r="A7" s="5" t="s">
        <v>565</v>
      </c>
      <c r="B7" s="4">
        <f t="shared" si="0"/>
        <v>999999</v>
      </c>
      <c r="C7" s="4">
        <f>'HDV frt'!B8</f>
        <v>999999</v>
      </c>
      <c r="D7" s="4">
        <f>'HDV frt'!C8</f>
        <v>999999</v>
      </c>
      <c r="E7" s="4">
        <f>'HDV frt'!D8</f>
        <v>999999</v>
      </c>
      <c r="F7" s="4">
        <f>'HDV frt'!E8</f>
        <v>999999</v>
      </c>
      <c r="G7" s="4">
        <f>'HDV frt'!F8</f>
        <v>999999</v>
      </c>
      <c r="H7" s="4">
        <f>'HDV frt'!G8</f>
        <v>999999</v>
      </c>
      <c r="I7" s="4">
        <f>'HDV frt'!H8</f>
        <v>999999</v>
      </c>
      <c r="J7" s="4">
        <f>'HDV frt'!I8</f>
        <v>999999</v>
      </c>
      <c r="K7" s="4">
        <f>'HDV frt'!J8</f>
        <v>999999</v>
      </c>
      <c r="L7" s="4">
        <f>'HDV frt'!K8</f>
        <v>999999</v>
      </c>
      <c r="M7" s="4">
        <f>'HDV frt'!L8</f>
        <v>999999</v>
      </c>
      <c r="N7" s="4">
        <f>'HDV frt'!M8</f>
        <v>999999</v>
      </c>
      <c r="O7" s="4">
        <f>'HDV frt'!N8</f>
        <v>999999</v>
      </c>
      <c r="P7" s="4">
        <f>'HDV frt'!O8</f>
        <v>999999</v>
      </c>
      <c r="Q7" s="4">
        <f>'HDV frt'!P8</f>
        <v>999999</v>
      </c>
      <c r="R7" s="4">
        <f>'HDV frt'!Q8</f>
        <v>999999</v>
      </c>
      <c r="S7" s="4">
        <f>'HDV frt'!R8</f>
        <v>999999</v>
      </c>
      <c r="T7" s="4">
        <f>'HDV frt'!S8</f>
        <v>999999</v>
      </c>
      <c r="U7" s="4">
        <f>'HDV frt'!T8</f>
        <v>999999</v>
      </c>
      <c r="V7" s="4">
        <f>'HDV frt'!U8</f>
        <v>999999</v>
      </c>
      <c r="W7" s="4">
        <f>'HDV frt'!V8</f>
        <v>999999</v>
      </c>
      <c r="X7" s="4">
        <f>'HDV frt'!W8</f>
        <v>999999</v>
      </c>
      <c r="Y7" s="4">
        <f>'HDV frt'!X8</f>
        <v>999999</v>
      </c>
      <c r="Z7" s="4">
        <f>'HDV frt'!Y8</f>
        <v>999999</v>
      </c>
      <c r="AA7" s="4">
        <f>'HDV frt'!Z8</f>
        <v>999999</v>
      </c>
      <c r="AB7" s="4">
        <f>'HDV frt'!AA8</f>
        <v>999999</v>
      </c>
      <c r="AC7" s="4">
        <f>'HDV frt'!AB8</f>
        <v>999999</v>
      </c>
      <c r="AD7" s="4">
        <f>'HDV frt'!AC8</f>
        <v>999999</v>
      </c>
      <c r="AE7" s="4">
        <f>'HDV frt'!AD8</f>
        <v>999999</v>
      </c>
      <c r="AF7" s="4">
        <f>'HDV frt'!AE8</f>
        <v>999999</v>
      </c>
      <c r="AG7" s="4">
        <f>'HDV frt'!AF8</f>
        <v>999999</v>
      </c>
      <c r="AH7" s="4"/>
      <c r="AI7" s="4"/>
      <c r="AJ7" s="24"/>
    </row>
    <row r="8" spans="1:36" s="5" customFormat="1" x14ac:dyDescent="0.35">
      <c r="A8" s="5" t="s">
        <v>566</v>
      </c>
      <c r="B8" s="4">
        <f t="shared" si="0"/>
        <v>218707.346332952</v>
      </c>
      <c r="C8" s="4">
        <f>'HDV frt'!B9</f>
        <v>218707.346332952</v>
      </c>
      <c r="D8" s="4">
        <f>'HDV frt'!C9</f>
        <v>196320.00462790579</v>
      </c>
      <c r="E8" s="4">
        <f>'HDV frt'!D9</f>
        <v>182770.67741621763</v>
      </c>
      <c r="F8" s="4">
        <f>'HDV frt'!E9</f>
        <v>173316.35690711741</v>
      </c>
      <c r="G8" s="4">
        <f>'HDV frt'!F9</f>
        <v>166070.96914028164</v>
      </c>
      <c r="H8" s="4">
        <f>'HDV frt'!G9</f>
        <v>160638.01132339906</v>
      </c>
      <c r="I8" s="4">
        <f>'HDV frt'!H9</f>
        <v>156095.13569711187</v>
      </c>
      <c r="J8" s="4">
        <f>'HDV frt'!I9</f>
        <v>152176.89937190025</v>
      </c>
      <c r="K8" s="4">
        <f>'HDV frt'!J9</f>
        <v>148816.42084420141</v>
      </c>
      <c r="L8" s="4">
        <f>'HDV frt'!K9</f>
        <v>145888.85814075559</v>
      </c>
      <c r="M8" s="4">
        <f>'HDV frt'!L9</f>
        <v>143306.5984665154</v>
      </c>
      <c r="N8" s="4">
        <f>'HDV frt'!M9</f>
        <v>141084.00240336676</v>
      </c>
      <c r="O8" s="4">
        <f>'HDV frt'!N9</f>
        <v>138937.19254108105</v>
      </c>
      <c r="P8" s="4">
        <f>'HDV frt'!O9</f>
        <v>136991.75628859026</v>
      </c>
      <c r="Q8" s="4">
        <f>'HDV frt'!P9</f>
        <v>135213.52839713384</v>
      </c>
      <c r="R8" s="4">
        <f>'HDV frt'!Q9</f>
        <v>133575.42625258261</v>
      </c>
      <c r="S8" s="4">
        <f>'HDV frt'!R9</f>
        <v>132041.61064856828</v>
      </c>
      <c r="T8" s="4">
        <f>'HDV frt'!S9</f>
        <v>130614.12225222809</v>
      </c>
      <c r="U8" s="4">
        <f>'HDV frt'!T9</f>
        <v>129273.62475844887</v>
      </c>
      <c r="V8" s="4">
        <f>'HDV frt'!U9</f>
        <v>128002.21139736133</v>
      </c>
      <c r="W8" s="4">
        <f>'HDV frt'!V9</f>
        <v>126786.7940352916</v>
      </c>
      <c r="X8" s="4">
        <f>'HDV frt'!W9</f>
        <v>125630.05694955667</v>
      </c>
      <c r="Y8" s="4">
        <f>'HDV frt'!X9</f>
        <v>124521.76188947604</v>
      </c>
      <c r="Z8" s="4">
        <f>'HDV frt'!Y9</f>
        <v>123454.9764103062</v>
      </c>
      <c r="AA8" s="4">
        <f>'HDV frt'!Z9</f>
        <v>122424.0469447776</v>
      </c>
      <c r="AB8" s="4">
        <f>'HDV frt'!AA9</f>
        <v>121424.16722212727</v>
      </c>
      <c r="AC8" s="4">
        <f>'HDV frt'!AB9</f>
        <v>120451.95116743509</v>
      </c>
      <c r="AD8" s="4">
        <f>'HDV frt'!AC9</f>
        <v>119503.35907566069</v>
      </c>
      <c r="AE8" s="4">
        <f>'HDV frt'!AD9</f>
        <v>118575.48086511412</v>
      </c>
      <c r="AF8" s="4">
        <f>'HDV frt'!AE9</f>
        <v>117665.98604353704</v>
      </c>
      <c r="AG8" s="4">
        <f>'HDV frt'!AF9</f>
        <v>116772.85024669656</v>
      </c>
      <c r="AH8" s="4"/>
      <c r="AI8" s="4"/>
      <c r="AJ8" s="24"/>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27">
    <tabColor theme="3"/>
  </sheetPr>
  <dimension ref="A1:AJ8"/>
  <sheetViews>
    <sheetView topLeftCell="O1" workbookViewId="0">
      <selection activeCell="B2" sqref="B2:AG8"/>
    </sheetView>
  </sheetViews>
  <sheetFormatPr defaultRowHeight="14.5" x14ac:dyDescent="0.35"/>
  <cols>
    <col min="1" max="1" width="24.3632812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C2</f>
        <v>500810.28671999997</v>
      </c>
      <c r="C2" s="4">
        <f>'HDV psg'!B2</f>
        <v>500810.28671999997</v>
      </c>
      <c r="D2" s="4">
        <f>'HDV psg'!C2</f>
        <v>465611.4411129778</v>
      </c>
      <c r="E2" s="4">
        <f>'HDV psg'!D2</f>
        <v>442731.60021925357</v>
      </c>
      <c r="F2" s="4">
        <f>'HDV psg'!E2</f>
        <v>426287.74105112505</v>
      </c>
      <c r="G2" s="4">
        <f>'HDV psg'!F2</f>
        <v>413399.26016309287</v>
      </c>
      <c r="H2" s="4">
        <f>'HDV psg'!G2</f>
        <v>403859.50189649459</v>
      </c>
      <c r="I2" s="4">
        <f>'HDV psg'!H2</f>
        <v>395772.52727934974</v>
      </c>
      <c r="J2" s="4">
        <f>'HDV psg'!I2</f>
        <v>388698.74725390383</v>
      </c>
      <c r="K2" s="4">
        <f>'HDV psg'!J2</f>
        <v>382617.51502410515</v>
      </c>
      <c r="L2" s="4">
        <f>'HDV psg'!K2</f>
        <v>377312.41462770314</v>
      </c>
      <c r="M2" s="4">
        <f>'HDV psg'!L2</f>
        <v>372630.65977391542</v>
      </c>
      <c r="N2" s="4">
        <f>'HDV psg'!M2</f>
        <v>368483.65693786583</v>
      </c>
      <c r="O2" s="4">
        <f>'HDV psg'!N2</f>
        <v>364850.94702164852</v>
      </c>
      <c r="P2" s="4">
        <f>'HDV psg'!O2</f>
        <v>361710.19394589873</v>
      </c>
      <c r="Q2" s="4">
        <f>'HDV psg'!P2</f>
        <v>358978.81052640948</v>
      </c>
      <c r="R2" s="4">
        <f>'HDV psg'!Q2</f>
        <v>356591.29011025344</v>
      </c>
      <c r="S2" s="4">
        <f>'HDV psg'!R2</f>
        <v>354457.16219109512</v>
      </c>
      <c r="T2" s="4">
        <f>'HDV psg'!S2</f>
        <v>352586.18707252259</v>
      </c>
      <c r="U2" s="4">
        <f>'HDV psg'!T2</f>
        <v>350930.31402917911</v>
      </c>
      <c r="V2" s="4">
        <f>'HDV psg'!U2</f>
        <v>349444.3078078971</v>
      </c>
      <c r="W2" s="4">
        <f>'HDV psg'!V2</f>
        <v>348095.13353499386</v>
      </c>
      <c r="X2" s="4">
        <f>'HDV psg'!W2</f>
        <v>346892.55151405744</v>
      </c>
      <c r="Y2" s="4">
        <f>'HDV psg'!X2</f>
        <v>345810.65940095024</v>
      </c>
      <c r="Z2" s="4">
        <f>'HDV psg'!Y2</f>
        <v>344832.18896624731</v>
      </c>
      <c r="AA2" s="4">
        <f>'HDV psg'!Z2</f>
        <v>343943.06284900435</v>
      </c>
      <c r="AB2" s="4">
        <f>'HDV psg'!AA2</f>
        <v>343131.26836788206</v>
      </c>
      <c r="AC2" s="4">
        <f>'HDV psg'!AB2</f>
        <v>342388.54680445994</v>
      </c>
      <c r="AD2" s="4">
        <f>'HDV psg'!AC2</f>
        <v>341704.57476071204</v>
      </c>
      <c r="AE2" s="4">
        <f>'HDV psg'!AD2</f>
        <v>341072.03200894746</v>
      </c>
      <c r="AF2" s="4">
        <f>'HDV psg'!AE2</f>
        <v>340485.09990664246</v>
      </c>
      <c r="AG2" s="4">
        <f>'HDV psg'!AF2</f>
        <v>339938.71060385706</v>
      </c>
      <c r="AH2" s="4"/>
      <c r="AI2" s="4"/>
      <c r="AJ2" s="4"/>
    </row>
    <row r="3" spans="1:36" x14ac:dyDescent="0.35">
      <c r="A3" t="s">
        <v>1</v>
      </c>
      <c r="B3" s="4">
        <f t="shared" ref="B3:B8" si="0">C3</f>
        <v>393020</v>
      </c>
      <c r="C3" s="4">
        <f>'HDV psg'!B3</f>
        <v>393020</v>
      </c>
      <c r="D3" s="4">
        <f>'HDV psg'!C3</f>
        <v>393020</v>
      </c>
      <c r="E3" s="4">
        <f>'HDV psg'!D3</f>
        <v>393020</v>
      </c>
      <c r="F3" s="4">
        <f>'HDV psg'!E3</f>
        <v>393020</v>
      </c>
      <c r="G3" s="4">
        <f>'HDV psg'!F3</f>
        <v>393020</v>
      </c>
      <c r="H3" s="4">
        <f>'HDV psg'!G3</f>
        <v>393020</v>
      </c>
      <c r="I3" s="4">
        <f>'HDV psg'!H3</f>
        <v>393020</v>
      </c>
      <c r="J3" s="4">
        <f>'HDV psg'!I3</f>
        <v>393020</v>
      </c>
      <c r="K3" s="4">
        <f>'HDV psg'!J3</f>
        <v>393020</v>
      </c>
      <c r="L3" s="4">
        <f>'HDV psg'!K3</f>
        <v>393020</v>
      </c>
      <c r="M3" s="4">
        <f>'HDV psg'!L3</f>
        <v>393020</v>
      </c>
      <c r="N3" s="4">
        <f>'HDV psg'!M3</f>
        <v>393020</v>
      </c>
      <c r="O3" s="4">
        <f>'HDV psg'!N3</f>
        <v>393020</v>
      </c>
      <c r="P3" s="4">
        <f>'HDV psg'!O3</f>
        <v>393020</v>
      </c>
      <c r="Q3" s="4">
        <f>'HDV psg'!P3</f>
        <v>393020</v>
      </c>
      <c r="R3" s="4">
        <f>'HDV psg'!Q3</f>
        <v>393020</v>
      </c>
      <c r="S3" s="4">
        <f>'HDV psg'!R3</f>
        <v>393020</v>
      </c>
      <c r="T3" s="4">
        <f>'HDV psg'!S3</f>
        <v>393020</v>
      </c>
      <c r="U3" s="4">
        <f>'HDV psg'!T3</f>
        <v>393020</v>
      </c>
      <c r="V3" s="4">
        <f>'HDV psg'!U3</f>
        <v>393020</v>
      </c>
      <c r="W3" s="4">
        <f>'HDV psg'!V3</f>
        <v>393020</v>
      </c>
      <c r="X3" s="4">
        <f>'HDV psg'!W3</f>
        <v>393020</v>
      </c>
      <c r="Y3" s="4">
        <f>'HDV psg'!X3</f>
        <v>393020</v>
      </c>
      <c r="Z3" s="4">
        <f>'HDV psg'!Y3</f>
        <v>393020</v>
      </c>
      <c r="AA3" s="4">
        <f>'HDV psg'!Z3</f>
        <v>393020</v>
      </c>
      <c r="AB3" s="4">
        <f>'HDV psg'!AA3</f>
        <v>393020</v>
      </c>
      <c r="AC3" s="4">
        <f>'HDV psg'!AB3</f>
        <v>393020</v>
      </c>
      <c r="AD3" s="4">
        <f>'HDV psg'!AC3</f>
        <v>393020</v>
      </c>
      <c r="AE3" s="4">
        <f>'HDV psg'!AD3</f>
        <v>393020</v>
      </c>
      <c r="AF3" s="4">
        <f>'HDV psg'!AE3</f>
        <v>393020</v>
      </c>
      <c r="AG3" s="4">
        <f>'HDV psg'!AF3</f>
        <v>393020</v>
      </c>
      <c r="AH3" s="4"/>
      <c r="AI3" s="4"/>
      <c r="AJ3" s="4"/>
    </row>
    <row r="4" spans="1:36" x14ac:dyDescent="0.35">
      <c r="A4" t="s">
        <v>2</v>
      </c>
      <c r="B4" s="4">
        <f t="shared" si="0"/>
        <v>353718</v>
      </c>
      <c r="C4" s="4">
        <f>'HDV psg'!B4</f>
        <v>353718</v>
      </c>
      <c r="D4" s="4">
        <f>'HDV psg'!C4</f>
        <v>353718</v>
      </c>
      <c r="E4" s="4">
        <f>'HDV psg'!D4</f>
        <v>353718</v>
      </c>
      <c r="F4" s="4">
        <f>'HDV psg'!E4</f>
        <v>353718</v>
      </c>
      <c r="G4" s="4">
        <f>'HDV psg'!F4</f>
        <v>353718</v>
      </c>
      <c r="H4" s="4">
        <f>'HDV psg'!G4</f>
        <v>353718</v>
      </c>
      <c r="I4" s="4">
        <f>'HDV psg'!H4</f>
        <v>353718</v>
      </c>
      <c r="J4" s="4">
        <f>'HDV psg'!I4</f>
        <v>353718</v>
      </c>
      <c r="K4" s="4">
        <f>'HDV psg'!J4</f>
        <v>353718</v>
      </c>
      <c r="L4" s="4">
        <f>'HDV psg'!K4</f>
        <v>353718</v>
      </c>
      <c r="M4" s="4">
        <f>'HDV psg'!L4</f>
        <v>353718</v>
      </c>
      <c r="N4" s="4">
        <f>'HDV psg'!M4</f>
        <v>353718</v>
      </c>
      <c r="O4" s="4">
        <f>'HDV psg'!N4</f>
        <v>353718</v>
      </c>
      <c r="P4" s="4">
        <f>'HDV psg'!O4</f>
        <v>353718</v>
      </c>
      <c r="Q4" s="4">
        <f>'HDV psg'!P4</f>
        <v>353718</v>
      </c>
      <c r="R4" s="4">
        <f>'HDV psg'!Q4</f>
        <v>353718</v>
      </c>
      <c r="S4" s="4">
        <f>'HDV psg'!R4</f>
        <v>353718</v>
      </c>
      <c r="T4" s="4">
        <f>'HDV psg'!S4</f>
        <v>353718</v>
      </c>
      <c r="U4" s="4">
        <f>'HDV psg'!T4</f>
        <v>353718</v>
      </c>
      <c r="V4" s="4">
        <f>'HDV psg'!U4</f>
        <v>353718</v>
      </c>
      <c r="W4" s="4">
        <f>'HDV psg'!V4</f>
        <v>353718</v>
      </c>
      <c r="X4" s="4">
        <f>'HDV psg'!W4</f>
        <v>353718</v>
      </c>
      <c r="Y4" s="4">
        <f>'HDV psg'!X4</f>
        <v>353718</v>
      </c>
      <c r="Z4" s="4">
        <f>'HDV psg'!Y4</f>
        <v>353718</v>
      </c>
      <c r="AA4" s="4">
        <f>'HDV psg'!Z4</f>
        <v>353718</v>
      </c>
      <c r="AB4" s="4">
        <f>'HDV psg'!AA4</f>
        <v>353718</v>
      </c>
      <c r="AC4" s="4">
        <f>'HDV psg'!AB4</f>
        <v>353718</v>
      </c>
      <c r="AD4" s="4">
        <f>'HDV psg'!AC4</f>
        <v>353718</v>
      </c>
      <c r="AE4" s="4">
        <f>'HDV psg'!AD4</f>
        <v>353718</v>
      </c>
      <c r="AF4" s="4">
        <f>'HDV psg'!AE4</f>
        <v>353718</v>
      </c>
      <c r="AG4" s="4">
        <f>'HDV psg'!AF4</f>
        <v>353718</v>
      </c>
      <c r="AH4" s="4"/>
      <c r="AI4" s="4"/>
      <c r="AJ4" s="4"/>
    </row>
    <row r="5" spans="1:36" x14ac:dyDescent="0.35">
      <c r="A5" t="s">
        <v>3</v>
      </c>
      <c r="B5" s="4">
        <f t="shared" si="0"/>
        <v>393020</v>
      </c>
      <c r="C5" s="4">
        <f>'HDV psg'!B5</f>
        <v>393020</v>
      </c>
      <c r="D5" s="4">
        <f>'HDV psg'!C5</f>
        <v>393020</v>
      </c>
      <c r="E5" s="4">
        <f>'HDV psg'!D5</f>
        <v>393020</v>
      </c>
      <c r="F5" s="4">
        <f>'HDV psg'!E5</f>
        <v>393020</v>
      </c>
      <c r="G5" s="4">
        <f>'HDV psg'!F5</f>
        <v>393020</v>
      </c>
      <c r="H5" s="4">
        <f>'HDV psg'!G5</f>
        <v>393020</v>
      </c>
      <c r="I5" s="4">
        <f>'HDV psg'!H5</f>
        <v>393020</v>
      </c>
      <c r="J5" s="4">
        <f>'HDV psg'!I5</f>
        <v>393020</v>
      </c>
      <c r="K5" s="4">
        <f>'HDV psg'!J5</f>
        <v>393020</v>
      </c>
      <c r="L5" s="4">
        <f>'HDV psg'!K5</f>
        <v>393020</v>
      </c>
      <c r="M5" s="4">
        <f>'HDV psg'!L5</f>
        <v>393020</v>
      </c>
      <c r="N5" s="4">
        <f>'HDV psg'!M5</f>
        <v>393020</v>
      </c>
      <c r="O5" s="4">
        <f>'HDV psg'!N5</f>
        <v>393020</v>
      </c>
      <c r="P5" s="4">
        <f>'HDV psg'!O5</f>
        <v>393020</v>
      </c>
      <c r="Q5" s="4">
        <f>'HDV psg'!P5</f>
        <v>393020</v>
      </c>
      <c r="R5" s="4">
        <f>'HDV psg'!Q5</f>
        <v>393020</v>
      </c>
      <c r="S5" s="4">
        <f>'HDV psg'!R5</f>
        <v>393020</v>
      </c>
      <c r="T5" s="4">
        <f>'HDV psg'!S5</f>
        <v>393020</v>
      </c>
      <c r="U5" s="4">
        <f>'HDV psg'!T5</f>
        <v>393020</v>
      </c>
      <c r="V5" s="4">
        <f>'HDV psg'!U5</f>
        <v>393020</v>
      </c>
      <c r="W5" s="4">
        <f>'HDV psg'!V5</f>
        <v>393020</v>
      </c>
      <c r="X5" s="4">
        <f>'HDV psg'!W5</f>
        <v>393020</v>
      </c>
      <c r="Y5" s="4">
        <f>'HDV psg'!X5</f>
        <v>393020</v>
      </c>
      <c r="Z5" s="4">
        <f>'HDV psg'!Y5</f>
        <v>393020</v>
      </c>
      <c r="AA5" s="4">
        <f>'HDV psg'!Z5</f>
        <v>393020</v>
      </c>
      <c r="AB5" s="4">
        <f>'HDV psg'!AA5</f>
        <v>393020</v>
      </c>
      <c r="AC5" s="4">
        <f>'HDV psg'!AB5</f>
        <v>393020</v>
      </c>
      <c r="AD5" s="4">
        <f>'HDV psg'!AC5</f>
        <v>393020</v>
      </c>
      <c r="AE5" s="4">
        <f>'HDV psg'!AD5</f>
        <v>393020</v>
      </c>
      <c r="AF5" s="4">
        <f>'HDV psg'!AE5</f>
        <v>393020</v>
      </c>
      <c r="AG5" s="4">
        <f>'HDV psg'!AF5</f>
        <v>393020</v>
      </c>
      <c r="AH5" s="4"/>
      <c r="AI5" s="4"/>
      <c r="AJ5" s="4"/>
    </row>
    <row r="6" spans="1:36" x14ac:dyDescent="0.35">
      <c r="A6" t="s">
        <v>4</v>
      </c>
      <c r="B6" s="4">
        <f t="shared" si="0"/>
        <v>999999</v>
      </c>
      <c r="C6" s="4">
        <f>'HDV psg'!B6</f>
        <v>999999</v>
      </c>
      <c r="D6" s="4">
        <f>'HDV psg'!C6</f>
        <v>999999</v>
      </c>
      <c r="E6" s="4">
        <f>'HDV psg'!D6</f>
        <v>999999</v>
      </c>
      <c r="F6" s="4">
        <f>'HDV psg'!E6</f>
        <v>999999</v>
      </c>
      <c r="G6" s="4">
        <f>'HDV psg'!F6</f>
        <v>999999</v>
      </c>
      <c r="H6" s="4">
        <f>'HDV psg'!G6</f>
        <v>999999</v>
      </c>
      <c r="I6" s="4">
        <f>'HDV psg'!H6</f>
        <v>999999</v>
      </c>
      <c r="J6" s="4">
        <f>'HDV psg'!I6</f>
        <v>999999</v>
      </c>
      <c r="K6" s="4">
        <f>'HDV psg'!J6</f>
        <v>999999</v>
      </c>
      <c r="L6" s="4">
        <f>'HDV psg'!K6</f>
        <v>999999</v>
      </c>
      <c r="M6" s="4">
        <f>'HDV psg'!L6</f>
        <v>999999</v>
      </c>
      <c r="N6" s="4">
        <f>'HDV psg'!M6</f>
        <v>999999</v>
      </c>
      <c r="O6" s="4">
        <f>'HDV psg'!N6</f>
        <v>999999</v>
      </c>
      <c r="P6" s="4">
        <f>'HDV psg'!O6</f>
        <v>999999</v>
      </c>
      <c r="Q6" s="4">
        <f>'HDV psg'!P6</f>
        <v>999999</v>
      </c>
      <c r="R6" s="4">
        <f>'HDV psg'!Q6</f>
        <v>999999</v>
      </c>
      <c r="S6" s="4">
        <f>'HDV psg'!R6</f>
        <v>999999</v>
      </c>
      <c r="T6" s="4">
        <f>'HDV psg'!S6</f>
        <v>999999</v>
      </c>
      <c r="U6" s="4">
        <f>'HDV psg'!T6</f>
        <v>999999</v>
      </c>
      <c r="V6" s="4">
        <f>'HDV psg'!U6</f>
        <v>999999</v>
      </c>
      <c r="W6" s="4">
        <f>'HDV psg'!V6</f>
        <v>999999</v>
      </c>
      <c r="X6" s="4">
        <f>'HDV psg'!W6</f>
        <v>999999</v>
      </c>
      <c r="Y6" s="4">
        <f>'HDV psg'!X6</f>
        <v>999999</v>
      </c>
      <c r="Z6" s="4">
        <f>'HDV psg'!Y6</f>
        <v>999999</v>
      </c>
      <c r="AA6" s="4">
        <f>'HDV psg'!Z6</f>
        <v>999999</v>
      </c>
      <c r="AB6" s="4">
        <f>'HDV psg'!AA6</f>
        <v>999999</v>
      </c>
      <c r="AC6" s="4">
        <f>'HDV psg'!AB6</f>
        <v>999999</v>
      </c>
      <c r="AD6" s="4">
        <f>'HDV psg'!AC6</f>
        <v>999999</v>
      </c>
      <c r="AE6" s="4">
        <f>'HDV psg'!AD6</f>
        <v>999999</v>
      </c>
      <c r="AF6" s="4">
        <f>'HDV psg'!AE6</f>
        <v>999999</v>
      </c>
      <c r="AG6" s="4">
        <f>'HDV psg'!AF6</f>
        <v>999999</v>
      </c>
      <c r="AH6" s="4"/>
      <c r="AI6" s="4"/>
      <c r="AJ6" s="4"/>
    </row>
    <row r="7" spans="1:36" s="5" customFormat="1" x14ac:dyDescent="0.35">
      <c r="A7" s="5" t="s">
        <v>565</v>
      </c>
      <c r="B7" s="4">
        <f t="shared" si="0"/>
        <v>999999</v>
      </c>
      <c r="C7" s="4">
        <f>'HDV psg'!B7</f>
        <v>999999</v>
      </c>
      <c r="D7" s="4">
        <f>'HDV psg'!C7</f>
        <v>999999</v>
      </c>
      <c r="E7" s="4">
        <f>'HDV psg'!D7</f>
        <v>999999</v>
      </c>
      <c r="F7" s="4">
        <f>'HDV psg'!E7</f>
        <v>999999</v>
      </c>
      <c r="G7" s="4">
        <f>'HDV psg'!F7</f>
        <v>999999</v>
      </c>
      <c r="H7" s="4">
        <f>'HDV psg'!G7</f>
        <v>999999</v>
      </c>
      <c r="I7" s="4">
        <f>'HDV psg'!H7</f>
        <v>999999</v>
      </c>
      <c r="J7" s="4">
        <f>'HDV psg'!I7</f>
        <v>999999</v>
      </c>
      <c r="K7" s="4">
        <f>'HDV psg'!J7</f>
        <v>999999</v>
      </c>
      <c r="L7" s="4">
        <f>'HDV psg'!K7</f>
        <v>999999</v>
      </c>
      <c r="M7" s="4">
        <f>'HDV psg'!L7</f>
        <v>999999</v>
      </c>
      <c r="N7" s="4">
        <f>'HDV psg'!M7</f>
        <v>999999</v>
      </c>
      <c r="O7" s="4">
        <f>'HDV psg'!N7</f>
        <v>999999</v>
      </c>
      <c r="P7" s="4">
        <f>'HDV psg'!O7</f>
        <v>999999</v>
      </c>
      <c r="Q7" s="4">
        <f>'HDV psg'!P7</f>
        <v>999999</v>
      </c>
      <c r="R7" s="4">
        <f>'HDV psg'!Q7</f>
        <v>999999</v>
      </c>
      <c r="S7" s="4">
        <f>'HDV psg'!R7</f>
        <v>999999</v>
      </c>
      <c r="T7" s="4">
        <f>'HDV psg'!S7</f>
        <v>999999</v>
      </c>
      <c r="U7" s="4">
        <f>'HDV psg'!T7</f>
        <v>999999</v>
      </c>
      <c r="V7" s="4">
        <f>'HDV psg'!U7</f>
        <v>999999</v>
      </c>
      <c r="W7" s="4">
        <f>'HDV psg'!V7</f>
        <v>999999</v>
      </c>
      <c r="X7" s="4">
        <f>'HDV psg'!W7</f>
        <v>999999</v>
      </c>
      <c r="Y7" s="4">
        <f>'HDV psg'!X7</f>
        <v>999999</v>
      </c>
      <c r="Z7" s="4">
        <f>'HDV psg'!Y7</f>
        <v>999999</v>
      </c>
      <c r="AA7" s="4">
        <f>'HDV psg'!Z7</f>
        <v>999999</v>
      </c>
      <c r="AB7" s="4">
        <f>'HDV psg'!AA7</f>
        <v>999999</v>
      </c>
      <c r="AC7" s="4">
        <f>'HDV psg'!AB7</f>
        <v>999999</v>
      </c>
      <c r="AD7" s="4">
        <f>'HDV psg'!AC7</f>
        <v>999999</v>
      </c>
      <c r="AE7" s="4">
        <f>'HDV psg'!AD7</f>
        <v>999999</v>
      </c>
      <c r="AF7" s="4">
        <f>'HDV psg'!AE7</f>
        <v>999999</v>
      </c>
      <c r="AG7" s="4">
        <f>'HDV psg'!AF7</f>
        <v>999999</v>
      </c>
      <c r="AH7" s="24"/>
      <c r="AI7" s="24"/>
      <c r="AJ7" s="24"/>
    </row>
    <row r="8" spans="1:36" s="5" customFormat="1" x14ac:dyDescent="0.35">
      <c r="A8" s="5" t="s">
        <v>566</v>
      </c>
      <c r="B8" s="4">
        <f t="shared" si="0"/>
        <v>643898.94006857148</v>
      </c>
      <c r="C8" s="4">
        <f>'HDV psg'!B8</f>
        <v>643898.94006857148</v>
      </c>
      <c r="D8" s="4">
        <f>'HDV psg'!C8</f>
        <v>577988.09694176109</v>
      </c>
      <c r="E8" s="4">
        <f>'HDV psg'!D8</f>
        <v>538097.35903775599</v>
      </c>
      <c r="F8" s="4">
        <f>'HDV psg'!E8</f>
        <v>510262.77982974617</v>
      </c>
      <c r="G8" s="4">
        <f>'HDV psg'!F8</f>
        <v>488931.54618956905</v>
      </c>
      <c r="H8" s="4">
        <f>'HDV psg'!G8</f>
        <v>472936.30945708952</v>
      </c>
      <c r="I8" s="4">
        <f>'HDV psg'!H8</f>
        <v>459561.57445309678</v>
      </c>
      <c r="J8" s="4">
        <f>'HDV psg'!I8</f>
        <v>448025.84756031522</v>
      </c>
      <c r="K8" s="4">
        <f>'HDV psg'!J8</f>
        <v>438132.22213625489</v>
      </c>
      <c r="L8" s="4">
        <f>'HDV psg'!K8</f>
        <v>429513.14941949619</v>
      </c>
      <c r="M8" s="4">
        <f>'HDV psg'!L8</f>
        <v>421910.68752187968</v>
      </c>
      <c r="N8" s="4">
        <f>'HDV psg'!M8</f>
        <v>415367.11560599494</v>
      </c>
      <c r="O8" s="4">
        <f>'HDV psg'!N8</f>
        <v>409046.66675947962</v>
      </c>
      <c r="P8" s="4">
        <f>'HDV psg'!O8</f>
        <v>403319.08438992</v>
      </c>
      <c r="Q8" s="4">
        <f>'HDV psg'!P8</f>
        <v>398083.78217576368</v>
      </c>
      <c r="R8" s="4">
        <f>'HDV psg'!Q8</f>
        <v>393261.02586562652</v>
      </c>
      <c r="S8" s="4">
        <f>'HDV psg'!R8</f>
        <v>388745.30081914394</v>
      </c>
      <c r="T8" s="4">
        <f>'HDV psg'!S8</f>
        <v>384542.61498908343</v>
      </c>
      <c r="U8" s="4">
        <f>'HDV psg'!T8</f>
        <v>380596.04012600135</v>
      </c>
      <c r="V8" s="4">
        <f>'HDV psg'!U8</f>
        <v>376852.8566924326</v>
      </c>
      <c r="W8" s="4">
        <f>'HDV psg'!V8</f>
        <v>373274.53175593854</v>
      </c>
      <c r="X8" s="4">
        <f>'HDV psg'!W8</f>
        <v>369868.9681297912</v>
      </c>
      <c r="Y8" s="4">
        <f>'HDV psg'!X8</f>
        <v>366606.02325649565</v>
      </c>
      <c r="Z8" s="4">
        <f>'HDV psg'!Y8</f>
        <v>363465.28724174708</v>
      </c>
      <c r="AA8" s="4">
        <f>'HDV psg'!Z8</f>
        <v>360430.11534985848</v>
      </c>
      <c r="AB8" s="4">
        <f>'HDV psg'!AA8</f>
        <v>357486.35738102242</v>
      </c>
      <c r="AC8" s="4">
        <f>'HDV psg'!AB8</f>
        <v>354624.04435116681</v>
      </c>
      <c r="AD8" s="4">
        <f>'HDV psg'!AC8</f>
        <v>351831.28291588736</v>
      </c>
      <c r="AE8" s="4">
        <f>'HDV psg'!AD8</f>
        <v>349099.50546853046</v>
      </c>
      <c r="AF8" s="4">
        <f>'HDV psg'!AE8</f>
        <v>346421.85077868839</v>
      </c>
      <c r="AG8" s="4">
        <f>'HDV psg'!AF8</f>
        <v>343792.35889117135</v>
      </c>
      <c r="AH8" s="24"/>
      <c r="AI8" s="24"/>
      <c r="AJ8" s="24"/>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codeName="Sheet28">
    <tabColor theme="3"/>
  </sheetPr>
  <dimension ref="A1:AJ8"/>
  <sheetViews>
    <sheetView workbookViewId="0"/>
  </sheetViews>
  <sheetFormatPr defaultRowHeight="14.5" x14ac:dyDescent="0.35"/>
  <cols>
    <col min="1" max="1" width="24.36328125" customWidth="1"/>
    <col min="2" max="35" width="10"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B$5*('BNVP-HDVs-psgr'!B$2/'BNVP-HDVs-psgr'!B$5)</f>
        <v>82614625.860465124</v>
      </c>
      <c r="C2" s="4">
        <f>C$5*('BNVP-HDVs-psgr'!C$2/'BNVP-HDVs-psgr'!C$5)</f>
        <v>82614625.860465124</v>
      </c>
      <c r="D2" s="4">
        <f>D$5*('BNVP-HDVs-psgr'!D$2/'BNVP-HDVs-psgr'!D$5)</f>
        <v>76808156.748998508</v>
      </c>
      <c r="E2" s="4">
        <f>E$5*('BNVP-HDVs-psgr'!E$2/'BNVP-HDVs-psgr'!E$5)</f>
        <v>73033854.292949319</v>
      </c>
      <c r="F2" s="4">
        <f>F$5*('BNVP-HDVs-psgr'!F$2/'BNVP-HDVs-psgr'!F$5)</f>
        <v>70321243.731823519</v>
      </c>
      <c r="G2" s="4">
        <f>G$5*('BNVP-HDVs-psgr'!G$2/'BNVP-HDVs-psgr'!G$5)</f>
        <v>68195135.193901554</v>
      </c>
      <c r="H2" s="4">
        <f>H$5*('BNVP-HDVs-psgr'!H$2/'BNVP-HDVs-psgr'!H$5)</f>
        <v>66621438.365196168</v>
      </c>
      <c r="I2" s="4">
        <f>I$5*('BNVP-HDVs-psgr'!I$2/'BNVP-HDVs-psgr'!I$5)</f>
        <v>65287395.514930137</v>
      </c>
      <c r="J2" s="4">
        <f>J$5*('BNVP-HDVs-psgr'!J$2/'BNVP-HDVs-psgr'!J$5)</f>
        <v>64120491.188645445</v>
      </c>
      <c r="K2" s="4">
        <f>K$5*('BNVP-HDVs-psgr'!K$2/'BNVP-HDVs-psgr'!K$5)</f>
        <v>63117319.45124799</v>
      </c>
      <c r="L2" s="4">
        <f>L$5*('BNVP-HDVs-psgr'!L$2/'BNVP-HDVs-psgr'!L$5)</f>
        <v>62242179.910342358</v>
      </c>
      <c r="M2" s="4">
        <f>M$5*('BNVP-HDVs-psgr'!M$2/'BNVP-HDVs-psgr'!M$5)</f>
        <v>61469868.64623221</v>
      </c>
      <c r="N2" s="4">
        <f>N$5*('BNVP-HDVs-psgr'!N$2/'BNVP-HDVs-psgr'!N$5)</f>
        <v>60785771.101059236</v>
      </c>
      <c r="O2" s="4">
        <f>O$5*('BNVP-HDVs-psgr'!O$2/'BNVP-HDVs-psgr'!O$5)</f>
        <v>60186512.302775636</v>
      </c>
      <c r="P2" s="4">
        <f>P$5*('BNVP-HDVs-psgr'!P$2/'BNVP-HDVs-psgr'!P$5)</f>
        <v>59668407.64887055</v>
      </c>
      <c r="Q2" s="4">
        <f>Q$5*('BNVP-HDVs-psgr'!Q$2/'BNVP-HDVs-psgr'!Q$5)</f>
        <v>59217833.398967527</v>
      </c>
      <c r="R2" s="4">
        <f>R$5*('BNVP-HDVs-psgr'!R$2/'BNVP-HDVs-psgr'!R$5)</f>
        <v>58823983.449904412</v>
      </c>
      <c r="S2" s="4">
        <f>S$5*('BNVP-HDVs-psgr'!S$2/'BNVP-HDVs-psgr'!S$5)</f>
        <v>58471933.613359801</v>
      </c>
      <c r="T2" s="4">
        <f>T$5*('BNVP-HDVs-psgr'!T$2/'BNVP-HDVs-psgr'!T$5)</f>
        <v>58163293.967741795</v>
      </c>
      <c r="U2" s="4">
        <f>U$5*('BNVP-HDVs-psgr'!U$2/'BNVP-HDVs-psgr'!U$5)</f>
        <v>57890137.973195039</v>
      </c>
      <c r="V2" s="4">
        <f>V$5*('BNVP-HDVs-psgr'!V$2/'BNVP-HDVs-psgr'!V$5)</f>
        <v>57645003.535558827</v>
      </c>
      <c r="W2" s="4">
        <f>W$5*('BNVP-HDVs-psgr'!W$2/'BNVP-HDVs-psgr'!W$5)</f>
        <v>57422441.158682607</v>
      </c>
      <c r="X2" s="4">
        <f>X$5*('BNVP-HDVs-psgr'!X$2/'BNVP-HDVs-psgr'!X$5)</f>
        <v>57224060.920974478</v>
      </c>
      <c r="Y2" s="4">
        <f>Y$5*('BNVP-HDVs-psgr'!Y$2/'BNVP-HDVs-psgr'!Y$5)</f>
        <v>57045589.922043681</v>
      </c>
      <c r="Z2" s="4">
        <f>Z$5*('BNVP-HDVs-psgr'!Z$2/'BNVP-HDVs-psgr'!Z$5)</f>
        <v>56884179.56162969</v>
      </c>
      <c r="AA2" s="4">
        <f>AA$5*('BNVP-HDVs-psgr'!AA$2/'BNVP-HDVs-psgr'!AA$5)</f>
        <v>56737507.611259259</v>
      </c>
      <c r="AB2" s="4">
        <f>AB$5*('BNVP-HDVs-psgr'!AB$2/'BNVP-HDVs-psgr'!AB$5)</f>
        <v>56603592.435968541</v>
      </c>
      <c r="AC2" s="4">
        <f>AC$5*('BNVP-HDVs-psgr'!AC$2/'BNVP-HDVs-psgr'!AC$5)</f>
        <v>56481071.661719896</v>
      </c>
      <c r="AD2" s="4">
        <f>AD$5*('BNVP-HDVs-psgr'!AD$2/'BNVP-HDVs-psgr'!AD$5)</f>
        <v>56368242.320966274</v>
      </c>
      <c r="AE2" s="4">
        <f>AE$5*('BNVP-HDVs-psgr'!AE$2/'BNVP-HDVs-psgr'!AE$5)</f>
        <v>56263896.854901597</v>
      </c>
      <c r="AF2" s="4">
        <f>AF$5*('BNVP-HDVs-psgr'!AF$2/'BNVP-HDVs-psgr'!AF$5)</f>
        <v>56167075.409090258</v>
      </c>
      <c r="AG2" s="4">
        <f>AG$5*('BNVP-HDVs-psgr'!AG$2/'BNVP-HDVs-psgr'!AG$5)</f>
        <v>56076941.981281869</v>
      </c>
      <c r="AH2" s="4"/>
      <c r="AI2" s="4"/>
    </row>
    <row r="3" spans="1:36" x14ac:dyDescent="0.3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3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35">
      <c r="A5" t="s">
        <v>3</v>
      </c>
      <c r="B5" s="11">
        <f>AVERAGE('Passenger Aircraft'!C5:C10)</f>
        <v>64833333.333333336</v>
      </c>
      <c r="C5">
        <f t="shared" ref="C5:AG5" si="0">$B5</f>
        <v>64833333.333333336</v>
      </c>
      <c r="D5">
        <f t="shared" si="0"/>
        <v>64833333.333333336</v>
      </c>
      <c r="E5">
        <f t="shared" si="0"/>
        <v>64833333.333333336</v>
      </c>
      <c r="F5">
        <f t="shared" si="0"/>
        <v>64833333.333333336</v>
      </c>
      <c r="G5">
        <f t="shared" si="0"/>
        <v>64833333.333333336</v>
      </c>
      <c r="H5">
        <f t="shared" si="0"/>
        <v>64833333.333333336</v>
      </c>
      <c r="I5">
        <f t="shared" si="0"/>
        <v>64833333.333333336</v>
      </c>
      <c r="J5">
        <f t="shared" si="0"/>
        <v>64833333.333333336</v>
      </c>
      <c r="K5">
        <f t="shared" si="0"/>
        <v>64833333.333333336</v>
      </c>
      <c r="L5">
        <f t="shared" si="0"/>
        <v>64833333.333333336</v>
      </c>
      <c r="M5">
        <f t="shared" si="0"/>
        <v>64833333.333333336</v>
      </c>
      <c r="N5">
        <f t="shared" si="0"/>
        <v>64833333.333333336</v>
      </c>
      <c r="O5">
        <f t="shared" si="0"/>
        <v>64833333.333333336</v>
      </c>
      <c r="P5">
        <f t="shared" si="0"/>
        <v>64833333.333333336</v>
      </c>
      <c r="Q5">
        <f t="shared" si="0"/>
        <v>64833333.333333336</v>
      </c>
      <c r="R5">
        <f t="shared" si="0"/>
        <v>64833333.333333336</v>
      </c>
      <c r="S5">
        <f t="shared" si="0"/>
        <v>64833333.333333336</v>
      </c>
      <c r="T5">
        <f t="shared" si="0"/>
        <v>64833333.333333336</v>
      </c>
      <c r="U5">
        <f t="shared" si="0"/>
        <v>64833333.333333336</v>
      </c>
      <c r="V5">
        <f t="shared" si="0"/>
        <v>64833333.333333336</v>
      </c>
      <c r="W5">
        <f t="shared" si="0"/>
        <v>64833333.333333336</v>
      </c>
      <c r="X5">
        <f t="shared" si="0"/>
        <v>64833333.333333336</v>
      </c>
      <c r="Y5">
        <f t="shared" si="0"/>
        <v>64833333.333333336</v>
      </c>
      <c r="Z5">
        <f t="shared" si="0"/>
        <v>64833333.333333336</v>
      </c>
      <c r="AA5">
        <f t="shared" si="0"/>
        <v>64833333.333333336</v>
      </c>
      <c r="AB5">
        <f t="shared" si="0"/>
        <v>64833333.333333336</v>
      </c>
      <c r="AC5">
        <f t="shared" si="0"/>
        <v>64833333.333333336</v>
      </c>
      <c r="AD5">
        <f t="shared" si="0"/>
        <v>64833333.333333336</v>
      </c>
      <c r="AE5">
        <f t="shared" si="0"/>
        <v>64833333.333333336</v>
      </c>
      <c r="AF5">
        <f t="shared" si="0"/>
        <v>64833333.333333336</v>
      </c>
      <c r="AG5">
        <f t="shared" si="0"/>
        <v>64833333.333333336</v>
      </c>
    </row>
    <row r="6" spans="1:36" x14ac:dyDescent="0.3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3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35">
      <c r="A8" s="5" t="s">
        <v>566</v>
      </c>
      <c r="B8" s="4">
        <f>B$5*('BNVP-HDVs-psgr'!B$8/'BNVP-HDVs-psgr'!B$5)</f>
        <v>106218804.67774087</v>
      </c>
      <c r="C8" s="4">
        <f>C$5*('BNVP-HDVs-psgr'!C$8/'BNVP-HDVs-psgr'!C$5)</f>
        <v>106218804.67774087</v>
      </c>
      <c r="D8" s="4">
        <f>D$5*('BNVP-HDVs-psgr'!D$8/'BNVP-HDVs-psgr'!D$5)</f>
        <v>95346025.52471675</v>
      </c>
      <c r="E8" s="4">
        <f>E$5*('BNVP-HDVs-psgr'!E$8/'BNVP-HDVs-psgr'!E$5)</f>
        <v>88765572.857058629</v>
      </c>
      <c r="F8" s="4">
        <f>F$5*('BNVP-HDVs-psgr'!F$8/'BNVP-HDVs-psgr'!F$5)</f>
        <v>84173927.261450335</v>
      </c>
      <c r="G8" s="4">
        <f>G$5*('BNVP-HDVs-psgr'!G$8/'BNVP-HDVs-psgr'!G$5)</f>
        <v>80655086.029439703</v>
      </c>
      <c r="H8" s="4">
        <f>H$5*('BNVP-HDVs-psgr'!H$8/'BNVP-HDVs-psgr'!H$5)</f>
        <v>78016481.086122781</v>
      </c>
      <c r="I8" s="4">
        <f>I$5*('BNVP-HDVs-psgr'!I$8/'BNVP-HDVs-psgr'!I$5)</f>
        <v>75810159.136199459</v>
      </c>
      <c r="J8" s="4">
        <f>J$5*('BNVP-HDVs-psgr'!J$8/'BNVP-HDVs-psgr'!J$5)</f>
        <v>73907203.493020982</v>
      </c>
      <c r="K8" s="4">
        <f>K$5*('BNVP-HDVs-psgr'!K$8/'BNVP-HDVs-psgr'!K$5)</f>
        <v>72275132.059014454</v>
      </c>
      <c r="L8" s="4">
        <f>L$5*('BNVP-HDVs-psgr'!L$8/'BNVP-HDVs-psgr'!L$5)</f>
        <v>70853313.285237402</v>
      </c>
      <c r="M8" s="4">
        <f>M$5*('BNVP-HDVs-psgr'!M$8/'BNVP-HDVs-psgr'!M$5)</f>
        <v>69599196.582875863</v>
      </c>
      <c r="N8" s="4">
        <f>N$5*('BNVP-HDVs-psgr'!N$8/'BNVP-HDVs-psgr'!N$5)</f>
        <v>68519756.403716549</v>
      </c>
      <c r="O8" s="4">
        <f>O$5*('BNVP-HDVs-psgr'!O$8/'BNVP-HDVs-psgr'!O$5)</f>
        <v>67477123.034212664</v>
      </c>
      <c r="P8" s="4">
        <f>P$5*('BNVP-HDVs-psgr'!P$8/'BNVP-HDVs-psgr'!P$5)</f>
        <v>66532290.056349494</v>
      </c>
      <c r="Q8" s="4">
        <f>Q$5*('BNVP-HDVs-psgr'!Q$8/'BNVP-HDVs-psgr'!Q$5)</f>
        <v>65668664.557517044</v>
      </c>
      <c r="R8" s="4">
        <f>R$5*('BNVP-HDVs-psgr'!R$8/'BNVP-HDVs-psgr'!R$5)</f>
        <v>64873093.422611542</v>
      </c>
      <c r="S8" s="4">
        <f>S$5*('BNVP-HDVs-psgr'!S$8/'BNVP-HDVs-psgr'!S$5)</f>
        <v>64128170.754095212</v>
      </c>
      <c r="T8" s="4">
        <f>T$5*('BNVP-HDVs-psgr'!T$8/'BNVP-HDVs-psgr'!T$5)</f>
        <v>63434887.635384738</v>
      </c>
      <c r="U8" s="4">
        <f>U$5*('BNVP-HDVs-psgr'!U$8/'BNVP-HDVs-psgr'!U$5)</f>
        <v>62783853.073217027</v>
      </c>
      <c r="V8" s="4">
        <f>V$5*('BNVP-HDVs-psgr'!V$8/'BNVP-HDVs-psgr'!V$5)</f>
        <v>62166370.351532705</v>
      </c>
      <c r="W8" s="4">
        <f>W$5*('BNVP-HDVs-psgr'!W$8/'BNVP-HDVs-psgr'!W$5)</f>
        <v>61576083.003859051</v>
      </c>
      <c r="X8" s="4">
        <f>X$5*('BNVP-HDVs-psgr'!X$8/'BNVP-HDVs-psgr'!X$5)</f>
        <v>61014294.693437472</v>
      </c>
      <c r="Y8" s="4">
        <f>Y$5*('BNVP-HDVs-psgr'!Y$8/'BNVP-HDVs-psgr'!Y$5)</f>
        <v>60476033.046145581</v>
      </c>
      <c r="Z8" s="4">
        <f>Z$5*('BNVP-HDVs-psgr'!Z$8/'BNVP-HDVs-psgr'!Z$5)</f>
        <v>59957931.206655987</v>
      </c>
      <c r="AA8" s="4">
        <f>AA$5*('BNVP-HDVs-psgr'!AA$8/'BNVP-HDVs-psgr'!AA$5)</f>
        <v>59457243.427431583</v>
      </c>
      <c r="AB8" s="4">
        <f>AB$5*('BNVP-HDVs-psgr'!AB$8/'BNVP-HDVs-psgr'!AB$5)</f>
        <v>58971635.464360476</v>
      </c>
      <c r="AC8" s="4">
        <f>AC$5*('BNVP-HDVs-psgr'!AC$8/'BNVP-HDVs-psgr'!AC$5)</f>
        <v>58499462.814701498</v>
      </c>
      <c r="AD8" s="4">
        <f>AD$5*('BNVP-HDVs-psgr'!AD$8/'BNVP-HDVs-psgr'!AD$5)</f>
        <v>58038763.529540561</v>
      </c>
      <c r="AE8" s="4">
        <f>AE$5*('BNVP-HDVs-psgr'!AE$8/'BNVP-HDVs-psgr'!AE$5)</f>
        <v>57588124.280044429</v>
      </c>
      <c r="AF8" s="4">
        <f>AF$5*('BNVP-HDVs-psgr'!AF$8/'BNVP-HDVs-psgr'!AF$5)</f>
        <v>57146413.224479578</v>
      </c>
      <c r="AG8" s="4">
        <f>AG$5*('BNVP-HDVs-psgr'!AG$8/'BNVP-HDVs-psgr'!AG$5)</f>
        <v>56712647.197201863</v>
      </c>
      <c r="AH8" s="4"/>
      <c r="AI8" s="4"/>
      <c r="AJ8" s="24"/>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codeName="Sheet29">
    <tabColor theme="3"/>
  </sheetPr>
  <dimension ref="A1:AJ8"/>
  <sheetViews>
    <sheetView workbookViewId="0"/>
  </sheetViews>
  <sheetFormatPr defaultRowHeight="14.5" x14ac:dyDescent="0.35"/>
  <cols>
    <col min="1" max="1" width="24.36328125" customWidth="1"/>
    <col min="2" max="35" width="10.0898437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B$5*('BNVP-HDVs-psgr'!B$2/'BNVP-HDVs-psgr'!B$5)</f>
        <v>82614625.860465124</v>
      </c>
      <c r="C2" s="4">
        <f>C$5*('BNVP-HDVs-psgr'!C$2/'BNVP-HDVs-psgr'!C$5)</f>
        <v>82614625.860465124</v>
      </c>
      <c r="D2" s="4">
        <f>D$5*('BNVP-HDVs-psgr'!D$2/'BNVP-HDVs-psgr'!D$5)</f>
        <v>76808156.748998508</v>
      </c>
      <c r="E2" s="4">
        <f>E$5*('BNVP-HDVs-psgr'!E$2/'BNVP-HDVs-psgr'!E$5)</f>
        <v>73033854.292949319</v>
      </c>
      <c r="F2" s="4">
        <f>F$5*('BNVP-HDVs-psgr'!F$2/'BNVP-HDVs-psgr'!F$5)</f>
        <v>70321243.731823519</v>
      </c>
      <c r="G2" s="4">
        <f>G$5*('BNVP-HDVs-psgr'!G$2/'BNVP-HDVs-psgr'!G$5)</f>
        <v>68195135.193901554</v>
      </c>
      <c r="H2" s="4">
        <f>H$5*('BNVP-HDVs-psgr'!H$2/'BNVP-HDVs-psgr'!H$5)</f>
        <v>66621438.365196168</v>
      </c>
      <c r="I2" s="4">
        <f>I$5*('BNVP-HDVs-psgr'!I$2/'BNVP-HDVs-psgr'!I$5)</f>
        <v>65287395.514930137</v>
      </c>
      <c r="J2" s="4">
        <f>J$5*('BNVP-HDVs-psgr'!J$2/'BNVP-HDVs-psgr'!J$5)</f>
        <v>64120491.188645445</v>
      </c>
      <c r="K2" s="4">
        <f>K$5*('BNVP-HDVs-psgr'!K$2/'BNVP-HDVs-psgr'!K$5)</f>
        <v>63117319.45124799</v>
      </c>
      <c r="L2" s="4">
        <f>L$5*('BNVP-HDVs-psgr'!L$2/'BNVP-HDVs-psgr'!L$5)</f>
        <v>62242179.910342358</v>
      </c>
      <c r="M2" s="4">
        <f>M$5*('BNVP-HDVs-psgr'!M$2/'BNVP-HDVs-psgr'!M$5)</f>
        <v>61469868.64623221</v>
      </c>
      <c r="N2" s="4">
        <f>N$5*('BNVP-HDVs-psgr'!N$2/'BNVP-HDVs-psgr'!N$5)</f>
        <v>60785771.101059236</v>
      </c>
      <c r="O2" s="4">
        <f>O$5*('BNVP-HDVs-psgr'!O$2/'BNVP-HDVs-psgr'!O$5)</f>
        <v>60186512.302775636</v>
      </c>
      <c r="P2" s="4">
        <f>P$5*('BNVP-HDVs-psgr'!P$2/'BNVP-HDVs-psgr'!P$5)</f>
        <v>59668407.64887055</v>
      </c>
      <c r="Q2" s="4">
        <f>Q$5*('BNVP-HDVs-psgr'!Q$2/'BNVP-HDVs-psgr'!Q$5)</f>
        <v>59217833.398967527</v>
      </c>
      <c r="R2" s="4">
        <f>R$5*('BNVP-HDVs-psgr'!R$2/'BNVP-HDVs-psgr'!R$5)</f>
        <v>58823983.449904412</v>
      </c>
      <c r="S2" s="4">
        <f>S$5*('BNVP-HDVs-psgr'!S$2/'BNVP-HDVs-psgr'!S$5)</f>
        <v>58471933.613359801</v>
      </c>
      <c r="T2" s="4">
        <f>T$5*('BNVP-HDVs-psgr'!T$2/'BNVP-HDVs-psgr'!T$5)</f>
        <v>58163293.967741795</v>
      </c>
      <c r="U2" s="4">
        <f>U$5*('BNVP-HDVs-psgr'!U$2/'BNVP-HDVs-psgr'!U$5)</f>
        <v>57890137.973195039</v>
      </c>
      <c r="V2" s="4">
        <f>V$5*('BNVP-HDVs-psgr'!V$2/'BNVP-HDVs-psgr'!V$5)</f>
        <v>57645003.535558827</v>
      </c>
      <c r="W2" s="4">
        <f>W$5*('BNVP-HDVs-psgr'!W$2/'BNVP-HDVs-psgr'!W$5)</f>
        <v>57422441.158682607</v>
      </c>
      <c r="X2" s="4">
        <f>X$5*('BNVP-HDVs-psgr'!X$2/'BNVP-HDVs-psgr'!X$5)</f>
        <v>57224060.920974478</v>
      </c>
      <c r="Y2" s="4">
        <f>Y$5*('BNVP-HDVs-psgr'!Y$2/'BNVP-HDVs-psgr'!Y$5)</f>
        <v>57045589.922043681</v>
      </c>
      <c r="Z2" s="4">
        <f>Z$5*('BNVP-HDVs-psgr'!Z$2/'BNVP-HDVs-psgr'!Z$5)</f>
        <v>56884179.56162969</v>
      </c>
      <c r="AA2" s="4">
        <f>AA$5*('BNVP-HDVs-psgr'!AA$2/'BNVP-HDVs-psgr'!AA$5)</f>
        <v>56737507.611259259</v>
      </c>
      <c r="AB2" s="4">
        <f>AB$5*('BNVP-HDVs-psgr'!AB$2/'BNVP-HDVs-psgr'!AB$5)</f>
        <v>56603592.435968541</v>
      </c>
      <c r="AC2" s="4">
        <f>AC$5*('BNVP-HDVs-psgr'!AC$2/'BNVP-HDVs-psgr'!AC$5)</f>
        <v>56481071.661719896</v>
      </c>
      <c r="AD2" s="4">
        <f>AD$5*('BNVP-HDVs-psgr'!AD$2/'BNVP-HDVs-psgr'!AD$5)</f>
        <v>56368242.320966274</v>
      </c>
      <c r="AE2" s="4">
        <f>AE$5*('BNVP-HDVs-psgr'!AE$2/'BNVP-HDVs-psgr'!AE$5)</f>
        <v>56263896.854901597</v>
      </c>
      <c r="AF2" s="4">
        <f>AF$5*('BNVP-HDVs-psgr'!AF$2/'BNVP-HDVs-psgr'!AF$5)</f>
        <v>56167075.409090258</v>
      </c>
      <c r="AG2" s="4">
        <f>AG$5*('BNVP-HDVs-psgr'!AG$2/'BNVP-HDVs-psgr'!AG$5)</f>
        <v>56076941.981281869</v>
      </c>
      <c r="AH2" s="4"/>
      <c r="AI2" s="4"/>
    </row>
    <row r="3" spans="1:36" x14ac:dyDescent="0.3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3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35">
      <c r="A5" t="s">
        <v>3</v>
      </c>
      <c r="B5" s="12">
        <f>AVERAGE('Passenger Aircraft'!C5:C10)</f>
        <v>64833333.333333336</v>
      </c>
      <c r="C5">
        <f t="shared" ref="C5:AG5" si="0">$B5</f>
        <v>64833333.333333336</v>
      </c>
      <c r="D5">
        <f t="shared" si="0"/>
        <v>64833333.333333336</v>
      </c>
      <c r="E5">
        <f t="shared" si="0"/>
        <v>64833333.333333336</v>
      </c>
      <c r="F5">
        <f t="shared" si="0"/>
        <v>64833333.333333336</v>
      </c>
      <c r="G5">
        <f t="shared" si="0"/>
        <v>64833333.333333336</v>
      </c>
      <c r="H5">
        <f t="shared" si="0"/>
        <v>64833333.333333336</v>
      </c>
      <c r="I5">
        <f t="shared" si="0"/>
        <v>64833333.333333336</v>
      </c>
      <c r="J5">
        <f t="shared" si="0"/>
        <v>64833333.333333336</v>
      </c>
      <c r="K5">
        <f t="shared" si="0"/>
        <v>64833333.333333336</v>
      </c>
      <c r="L5">
        <f t="shared" si="0"/>
        <v>64833333.333333336</v>
      </c>
      <c r="M5">
        <f t="shared" si="0"/>
        <v>64833333.333333336</v>
      </c>
      <c r="N5">
        <f t="shared" si="0"/>
        <v>64833333.333333336</v>
      </c>
      <c r="O5">
        <f t="shared" si="0"/>
        <v>64833333.333333336</v>
      </c>
      <c r="P5">
        <f t="shared" si="0"/>
        <v>64833333.333333336</v>
      </c>
      <c r="Q5">
        <f t="shared" si="0"/>
        <v>64833333.333333336</v>
      </c>
      <c r="R5">
        <f t="shared" si="0"/>
        <v>64833333.333333336</v>
      </c>
      <c r="S5">
        <f t="shared" si="0"/>
        <v>64833333.333333336</v>
      </c>
      <c r="T5">
        <f t="shared" si="0"/>
        <v>64833333.333333336</v>
      </c>
      <c r="U5">
        <f t="shared" si="0"/>
        <v>64833333.333333336</v>
      </c>
      <c r="V5">
        <f t="shared" si="0"/>
        <v>64833333.333333336</v>
      </c>
      <c r="W5">
        <f t="shared" si="0"/>
        <v>64833333.333333336</v>
      </c>
      <c r="X5">
        <f t="shared" si="0"/>
        <v>64833333.333333336</v>
      </c>
      <c r="Y5">
        <f t="shared" si="0"/>
        <v>64833333.333333336</v>
      </c>
      <c r="Z5">
        <f t="shared" si="0"/>
        <v>64833333.333333336</v>
      </c>
      <c r="AA5">
        <f t="shared" si="0"/>
        <v>64833333.333333336</v>
      </c>
      <c r="AB5">
        <f t="shared" si="0"/>
        <v>64833333.333333336</v>
      </c>
      <c r="AC5">
        <f t="shared" si="0"/>
        <v>64833333.333333336</v>
      </c>
      <c r="AD5">
        <f t="shared" si="0"/>
        <v>64833333.333333336</v>
      </c>
      <c r="AE5">
        <f t="shared" si="0"/>
        <v>64833333.333333336</v>
      </c>
      <c r="AF5">
        <f t="shared" si="0"/>
        <v>64833333.333333336</v>
      </c>
      <c r="AG5">
        <f t="shared" si="0"/>
        <v>64833333.333333336</v>
      </c>
    </row>
    <row r="6" spans="1:36" x14ac:dyDescent="0.3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3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35">
      <c r="A8" s="5" t="s">
        <v>566</v>
      </c>
      <c r="B8" s="4">
        <f>B$5*('BNVP-HDVs-psgr'!B$8/'BNVP-HDVs-psgr'!B$5)</f>
        <v>106218804.67774087</v>
      </c>
      <c r="C8" s="4">
        <f>C$5*('BNVP-HDVs-psgr'!C$8/'BNVP-HDVs-psgr'!C$5)</f>
        <v>106218804.67774087</v>
      </c>
      <c r="D8" s="4">
        <f>D$5*('BNVP-HDVs-psgr'!D$8/'BNVP-HDVs-psgr'!D$5)</f>
        <v>95346025.52471675</v>
      </c>
      <c r="E8" s="4">
        <f>E$5*('BNVP-HDVs-psgr'!E$8/'BNVP-HDVs-psgr'!E$5)</f>
        <v>88765572.857058629</v>
      </c>
      <c r="F8" s="4">
        <f>F$5*('BNVP-HDVs-psgr'!F$8/'BNVP-HDVs-psgr'!F$5)</f>
        <v>84173927.261450335</v>
      </c>
      <c r="G8" s="4">
        <f>G$5*('BNVP-HDVs-psgr'!G$8/'BNVP-HDVs-psgr'!G$5)</f>
        <v>80655086.029439703</v>
      </c>
      <c r="H8" s="4">
        <f>H$5*('BNVP-HDVs-psgr'!H$8/'BNVP-HDVs-psgr'!H$5)</f>
        <v>78016481.086122781</v>
      </c>
      <c r="I8" s="4">
        <f>I$5*('BNVP-HDVs-psgr'!I$8/'BNVP-HDVs-psgr'!I$5)</f>
        <v>75810159.136199459</v>
      </c>
      <c r="J8" s="4">
        <f>J$5*('BNVP-HDVs-psgr'!J$8/'BNVP-HDVs-psgr'!J$5)</f>
        <v>73907203.493020982</v>
      </c>
      <c r="K8" s="4">
        <f>K$5*('BNVP-HDVs-psgr'!K$8/'BNVP-HDVs-psgr'!K$5)</f>
        <v>72275132.059014454</v>
      </c>
      <c r="L8" s="4">
        <f>L$5*('BNVP-HDVs-psgr'!L$8/'BNVP-HDVs-psgr'!L$5)</f>
        <v>70853313.285237402</v>
      </c>
      <c r="M8" s="4">
        <f>M$5*('BNVP-HDVs-psgr'!M$8/'BNVP-HDVs-psgr'!M$5)</f>
        <v>69599196.582875863</v>
      </c>
      <c r="N8" s="4">
        <f>N$5*('BNVP-HDVs-psgr'!N$8/'BNVP-HDVs-psgr'!N$5)</f>
        <v>68519756.403716549</v>
      </c>
      <c r="O8" s="4">
        <f>O$5*('BNVP-HDVs-psgr'!O$8/'BNVP-HDVs-psgr'!O$5)</f>
        <v>67477123.034212664</v>
      </c>
      <c r="P8" s="4">
        <f>P$5*('BNVP-HDVs-psgr'!P$8/'BNVP-HDVs-psgr'!P$5)</f>
        <v>66532290.056349494</v>
      </c>
      <c r="Q8" s="4">
        <f>Q$5*('BNVP-HDVs-psgr'!Q$8/'BNVP-HDVs-psgr'!Q$5)</f>
        <v>65668664.557517044</v>
      </c>
      <c r="R8" s="4">
        <f>R$5*('BNVP-HDVs-psgr'!R$8/'BNVP-HDVs-psgr'!R$5)</f>
        <v>64873093.422611542</v>
      </c>
      <c r="S8" s="4">
        <f>S$5*('BNVP-HDVs-psgr'!S$8/'BNVP-HDVs-psgr'!S$5)</f>
        <v>64128170.754095212</v>
      </c>
      <c r="T8" s="4">
        <f>T$5*('BNVP-HDVs-psgr'!T$8/'BNVP-HDVs-psgr'!T$5)</f>
        <v>63434887.635384738</v>
      </c>
      <c r="U8" s="4">
        <f>U$5*('BNVP-HDVs-psgr'!U$8/'BNVP-HDVs-psgr'!U$5)</f>
        <v>62783853.073217027</v>
      </c>
      <c r="V8" s="4">
        <f>V$5*('BNVP-HDVs-psgr'!V$8/'BNVP-HDVs-psgr'!V$5)</f>
        <v>62166370.351532705</v>
      </c>
      <c r="W8" s="4">
        <f>W$5*('BNVP-HDVs-psgr'!W$8/'BNVP-HDVs-psgr'!W$5)</f>
        <v>61576083.003859051</v>
      </c>
      <c r="X8" s="4">
        <f>X$5*('BNVP-HDVs-psgr'!X$8/'BNVP-HDVs-psgr'!X$5)</f>
        <v>61014294.693437472</v>
      </c>
      <c r="Y8" s="4">
        <f>Y$5*('BNVP-HDVs-psgr'!Y$8/'BNVP-HDVs-psgr'!Y$5)</f>
        <v>60476033.046145581</v>
      </c>
      <c r="Z8" s="4">
        <f>Z$5*('BNVP-HDVs-psgr'!Z$8/'BNVP-HDVs-psgr'!Z$5)</f>
        <v>59957931.206655987</v>
      </c>
      <c r="AA8" s="4">
        <f>AA$5*('BNVP-HDVs-psgr'!AA$8/'BNVP-HDVs-psgr'!AA$5)</f>
        <v>59457243.427431583</v>
      </c>
      <c r="AB8" s="4">
        <f>AB$5*('BNVP-HDVs-psgr'!AB$8/'BNVP-HDVs-psgr'!AB$5)</f>
        <v>58971635.464360476</v>
      </c>
      <c r="AC8" s="4">
        <f>AC$5*('BNVP-HDVs-psgr'!AC$8/'BNVP-HDVs-psgr'!AC$5)</f>
        <v>58499462.814701498</v>
      </c>
      <c r="AD8" s="4">
        <f>AD$5*('BNVP-HDVs-psgr'!AD$8/'BNVP-HDVs-psgr'!AD$5)</f>
        <v>58038763.529540561</v>
      </c>
      <c r="AE8" s="4">
        <f>AE$5*('BNVP-HDVs-psgr'!AE$8/'BNVP-HDVs-psgr'!AE$5)</f>
        <v>57588124.280044429</v>
      </c>
      <c r="AF8" s="4">
        <f>AF$5*('BNVP-HDVs-psgr'!AF$8/'BNVP-HDVs-psgr'!AF$5)</f>
        <v>57146413.224479578</v>
      </c>
      <c r="AG8" s="4">
        <f>AG$5*('BNVP-HDVs-psgr'!AG$8/'BNVP-HDVs-psgr'!AG$5)</f>
        <v>56712647.197201863</v>
      </c>
      <c r="AH8" s="4"/>
      <c r="AI8" s="4"/>
      <c r="AJ8" s="24"/>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codeName="Sheet30">
    <tabColor theme="3"/>
  </sheetPr>
  <dimension ref="A1:AJ8"/>
  <sheetViews>
    <sheetView workbookViewId="0"/>
  </sheetViews>
  <sheetFormatPr defaultRowHeight="14.5" x14ac:dyDescent="0.35"/>
  <cols>
    <col min="1" max="1" width="24.3632812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B$5*('BNVP-HDVs-psgr'!B$2/'BNVP-HDVs-psgr'!B$5)</f>
        <v>3185653.9534883723</v>
      </c>
      <c r="C2" s="4">
        <f>C$5*('BNVP-HDVs-psgr'!C$2/'BNVP-HDVs-psgr'!C$5)</f>
        <v>3185653.9534883723</v>
      </c>
      <c r="D2" s="4">
        <f>D$5*('BNVP-HDVs-psgr'!D$2/'BNVP-HDVs-psgr'!D$5)</f>
        <v>2961754.1162852896</v>
      </c>
      <c r="E2" s="4">
        <f>E$5*('BNVP-HDVs-psgr'!E$2/'BNVP-HDVs-psgr'!E$5)</f>
        <v>2816215.4611677113</v>
      </c>
      <c r="F2" s="4">
        <f>F$5*('BNVP-HDVs-psgr'!F$2/'BNVP-HDVs-psgr'!F$5)</f>
        <v>2711616.0822039912</v>
      </c>
      <c r="G2" s="4">
        <f>G$5*('BNVP-HDVs-psgr'!G$2/'BNVP-HDVs-psgr'!G$5)</f>
        <v>2629632.4624897772</v>
      </c>
      <c r="H2" s="4">
        <f>H$5*('BNVP-HDVs-psgr'!H$2/'BNVP-HDVs-psgr'!H$5)</f>
        <v>2568950.0654959963</v>
      </c>
      <c r="I2" s="4">
        <f>I$5*('BNVP-HDVs-psgr'!I$2/'BNVP-HDVs-psgr'!I$5)</f>
        <v>2517508.8244831674</v>
      </c>
      <c r="J2" s="4">
        <f>J$5*('BNVP-HDVs-psgr'!J$2/'BNVP-HDVs-psgr'!J$5)</f>
        <v>2472512.5137009812</v>
      </c>
      <c r="K2" s="4">
        <f>K$5*('BNVP-HDVs-psgr'!K$2/'BNVP-HDVs-psgr'!K$5)</f>
        <v>2433829.7988913106</v>
      </c>
      <c r="L2" s="4">
        <f>L$5*('BNVP-HDVs-psgr'!L$2/'BNVP-HDVs-psgr'!L$5)</f>
        <v>2400084.0582394227</v>
      </c>
      <c r="M2" s="4">
        <f>M$5*('BNVP-HDVs-psgr'!M$2/'BNVP-HDVs-psgr'!M$5)</f>
        <v>2370303.4182351753</v>
      </c>
      <c r="N2" s="4">
        <f>N$5*('BNVP-HDVs-psgr'!N$2/'BNVP-HDVs-psgr'!N$5)</f>
        <v>2343924.335516423</v>
      </c>
      <c r="O2" s="4">
        <f>O$5*('BNVP-HDVs-psgr'!O$2/'BNVP-HDVs-psgr'!O$5)</f>
        <v>2320816.6697728392</v>
      </c>
      <c r="P2" s="4">
        <f>P$5*('BNVP-HDVs-psgr'!P$2/'BNVP-HDVs-psgr'!P$5)</f>
        <v>2300838.3412160878</v>
      </c>
      <c r="Q2" s="4">
        <f>Q$5*('BNVP-HDVs-psgr'!Q$2/'BNVP-HDVs-psgr'!Q$5)</f>
        <v>2283464.0128136575</v>
      </c>
      <c r="R2" s="4">
        <f>R$5*('BNVP-HDVs-psgr'!R$2/'BNVP-HDVs-psgr'!R$5)</f>
        <v>2268276.9967829464</v>
      </c>
      <c r="S2" s="4">
        <f>S$5*('BNVP-HDVs-psgr'!S$2/'BNVP-HDVs-psgr'!S$5)</f>
        <v>2254701.8102837969</v>
      </c>
      <c r="T2" s="4">
        <f>T$5*('BNVP-HDVs-psgr'!T$2/'BNVP-HDVs-psgr'!T$5)</f>
        <v>2242800.5386018688</v>
      </c>
      <c r="U2" s="4">
        <f>U$5*('BNVP-HDVs-psgr'!U$2/'BNVP-HDVs-psgr'!U$5)</f>
        <v>2232267.5311000654</v>
      </c>
      <c r="V2" s="4">
        <f>V$5*('BNVP-HDVs-psgr'!V$2/'BNVP-HDVs-psgr'!V$5)</f>
        <v>2222815.0463583092</v>
      </c>
      <c r="W2" s="4">
        <f>W$5*('BNVP-HDVs-psgr'!W$2/'BNVP-HDVs-psgr'!W$5)</f>
        <v>2214232.9495635964</v>
      </c>
      <c r="X2" s="4">
        <f>X$5*('BNVP-HDVs-psgr'!X$2/'BNVP-HDVs-psgr'!X$5)</f>
        <v>2206583.3260015864</v>
      </c>
      <c r="Y2" s="4">
        <f>Y$5*('BNVP-HDVs-psgr'!Y$2/'BNVP-HDVs-psgr'!Y$5)</f>
        <v>2199701.4108757204</v>
      </c>
      <c r="Z2" s="4">
        <f>Z$5*('BNVP-HDVs-psgr'!Z$2/'BNVP-HDVs-psgr'!Z$5)</f>
        <v>2193477.3609882914</v>
      </c>
      <c r="AA2" s="4">
        <f>AA$5*('BNVP-HDVs-psgr'!AA$2/'BNVP-HDVs-psgr'!AA$5)</f>
        <v>2187821.6302542132</v>
      </c>
      <c r="AB2" s="4">
        <f>AB$5*('BNVP-HDVs-psgr'!AB$2/'BNVP-HDVs-psgr'!AB$5)</f>
        <v>2182657.8060142109</v>
      </c>
      <c r="AC2" s="4">
        <f>AC$5*('BNVP-HDVs-psgr'!AC$2/'BNVP-HDVs-psgr'!AC$5)</f>
        <v>2177933.3545650346</v>
      </c>
      <c r="AD2" s="4">
        <f>AD$5*('BNVP-HDVs-psgr'!AD$2/'BNVP-HDVs-psgr'!AD$5)</f>
        <v>2173582.6087776199</v>
      </c>
      <c r="AE2" s="4">
        <f>AE$5*('BNVP-HDVs-psgr'!AE$2/'BNVP-HDVs-psgr'!AE$5)</f>
        <v>2169559.0046877223</v>
      </c>
      <c r="AF2" s="4">
        <f>AF$5*('BNVP-HDVs-psgr'!AF$2/'BNVP-HDVs-psgr'!AF$5)</f>
        <v>2165825.529913506</v>
      </c>
      <c r="AG2" s="4">
        <f>AG$5*('BNVP-HDVs-psgr'!AG$2/'BNVP-HDVs-psgr'!AG$5)</f>
        <v>2162349.9478643392</v>
      </c>
      <c r="AH2" s="4"/>
      <c r="AI2" s="4"/>
    </row>
    <row r="3" spans="1:36" x14ac:dyDescent="0.3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3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35">
      <c r="A5" t="s">
        <v>3</v>
      </c>
      <c r="B5" s="12">
        <v>2500000</v>
      </c>
      <c r="C5">
        <f t="shared" ref="C5:AG5" si="0">$B5</f>
        <v>2500000</v>
      </c>
      <c r="D5">
        <f t="shared" si="0"/>
        <v>2500000</v>
      </c>
      <c r="E5">
        <f t="shared" si="0"/>
        <v>2500000</v>
      </c>
      <c r="F5">
        <f t="shared" si="0"/>
        <v>2500000</v>
      </c>
      <c r="G5">
        <f t="shared" si="0"/>
        <v>2500000</v>
      </c>
      <c r="H5">
        <f t="shared" si="0"/>
        <v>2500000</v>
      </c>
      <c r="I5">
        <f t="shared" si="0"/>
        <v>2500000</v>
      </c>
      <c r="J5">
        <f t="shared" si="0"/>
        <v>2500000</v>
      </c>
      <c r="K5">
        <f t="shared" si="0"/>
        <v>2500000</v>
      </c>
      <c r="L5">
        <f t="shared" si="0"/>
        <v>2500000</v>
      </c>
      <c r="M5">
        <f t="shared" si="0"/>
        <v>2500000</v>
      </c>
      <c r="N5">
        <f t="shared" si="0"/>
        <v>2500000</v>
      </c>
      <c r="O5">
        <f t="shared" si="0"/>
        <v>2500000</v>
      </c>
      <c r="P5">
        <f t="shared" si="0"/>
        <v>2500000</v>
      </c>
      <c r="Q5">
        <f t="shared" si="0"/>
        <v>2500000</v>
      </c>
      <c r="R5">
        <f t="shared" si="0"/>
        <v>2500000</v>
      </c>
      <c r="S5">
        <f t="shared" si="0"/>
        <v>2500000</v>
      </c>
      <c r="T5">
        <f t="shared" si="0"/>
        <v>2500000</v>
      </c>
      <c r="U5">
        <f t="shared" si="0"/>
        <v>2500000</v>
      </c>
      <c r="V5">
        <f t="shared" si="0"/>
        <v>2500000</v>
      </c>
      <c r="W5">
        <f t="shared" si="0"/>
        <v>2500000</v>
      </c>
      <c r="X5">
        <f t="shared" si="0"/>
        <v>2500000</v>
      </c>
      <c r="Y5">
        <f t="shared" si="0"/>
        <v>2500000</v>
      </c>
      <c r="Z5">
        <f t="shared" si="0"/>
        <v>2500000</v>
      </c>
      <c r="AA5">
        <f t="shared" si="0"/>
        <v>2500000</v>
      </c>
      <c r="AB5">
        <f t="shared" si="0"/>
        <v>2500000</v>
      </c>
      <c r="AC5">
        <f t="shared" si="0"/>
        <v>2500000</v>
      </c>
      <c r="AD5">
        <f t="shared" si="0"/>
        <v>2500000</v>
      </c>
      <c r="AE5">
        <f t="shared" si="0"/>
        <v>2500000</v>
      </c>
      <c r="AF5">
        <f t="shared" si="0"/>
        <v>2500000</v>
      </c>
      <c r="AG5">
        <f t="shared" si="0"/>
        <v>2500000</v>
      </c>
    </row>
    <row r="6" spans="1:36" x14ac:dyDescent="0.3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3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35">
      <c r="A8" s="5" t="s">
        <v>566</v>
      </c>
      <c r="B8" s="4">
        <f>B$5*('BNVP-HDVs-psgr'!B$8/'BNVP-HDVs-psgr'!B$5)</f>
        <v>4095840.7973421928</v>
      </c>
      <c r="C8" s="4">
        <f>C$5*('BNVP-HDVs-psgr'!C$8/'BNVP-HDVs-psgr'!C$5)</f>
        <v>4095840.7973421928</v>
      </c>
      <c r="D8" s="4">
        <f>D$5*('BNVP-HDVs-psgr'!D$8/'BNVP-HDVs-psgr'!D$5)</f>
        <v>3676581.9611073299</v>
      </c>
      <c r="E8" s="4">
        <f>E$5*('BNVP-HDVs-psgr'!E$8/'BNVP-HDVs-psgr'!E$5)</f>
        <v>3422836.9996295101</v>
      </c>
      <c r="F8" s="4">
        <f>F$5*('BNVP-HDVs-psgr'!F$8/'BNVP-HDVs-psgr'!F$5)</f>
        <v>3245781.2568682646</v>
      </c>
      <c r="G8" s="4">
        <f>G$5*('BNVP-HDVs-psgr'!G$8/'BNVP-HDVs-psgr'!G$5)</f>
        <v>3110093.2916236389</v>
      </c>
      <c r="H8" s="4">
        <f>H$5*('BNVP-HDVs-psgr'!H$8/'BNVP-HDVs-psgr'!H$5)</f>
        <v>3008347.5997219579</v>
      </c>
      <c r="I8" s="4">
        <f>I$5*('BNVP-HDVs-psgr'!I$8/'BNVP-HDVs-psgr'!I$5)</f>
        <v>2923270.9178483081</v>
      </c>
      <c r="J8" s="4">
        <f>J$5*('BNVP-HDVs-psgr'!J$8/'BNVP-HDVs-psgr'!J$5)</f>
        <v>2849892.1655406547</v>
      </c>
      <c r="K8" s="4">
        <f>K$5*('BNVP-HDVs-psgr'!K$8/'BNVP-HDVs-psgr'!K$5)</f>
        <v>2786958.8197563412</v>
      </c>
      <c r="L8" s="4">
        <f>L$5*('BNVP-HDVs-psgr'!L$8/'BNVP-HDVs-psgr'!L$5)</f>
        <v>2732132.9030297198</v>
      </c>
      <c r="M8" s="4">
        <f>M$5*('BNVP-HDVs-psgr'!M$8/'BNVP-HDVs-psgr'!M$5)</f>
        <v>2683773.6471545957</v>
      </c>
      <c r="N8" s="4">
        <f>N$5*('BNVP-HDVs-psgr'!N$8/'BNVP-HDVs-psgr'!N$5)</f>
        <v>2642149.9898605351</v>
      </c>
      <c r="O8" s="4">
        <f>O$5*('BNVP-HDVs-psgr'!O$8/'BNVP-HDVs-psgr'!O$5)</f>
        <v>2601945.6182858353</v>
      </c>
      <c r="P8" s="4">
        <f>P$5*('BNVP-HDVs-psgr'!P$8/'BNVP-HDVs-psgr'!P$5)</f>
        <v>2565512.4700391833</v>
      </c>
      <c r="Q8" s="4">
        <f>Q$5*('BNVP-HDVs-psgr'!Q$8/'BNVP-HDVs-psgr'!Q$5)</f>
        <v>2532210.7155854902</v>
      </c>
      <c r="R8" s="4">
        <f>R$5*('BNVP-HDVs-psgr'!R$8/'BNVP-HDVs-psgr'!R$5)</f>
        <v>2501533.1653963318</v>
      </c>
      <c r="S8" s="4">
        <f>S$5*('BNVP-HDVs-psgr'!S$8/'BNVP-HDVs-psgr'!S$5)</f>
        <v>2472808.6409034142</v>
      </c>
      <c r="T8" s="4">
        <f>T$5*('BNVP-HDVs-psgr'!T$8/'BNVP-HDVs-psgr'!T$5)</f>
        <v>2446075.3586909282</v>
      </c>
      <c r="U8" s="4">
        <f>U$5*('BNVP-HDVs-psgr'!U$8/'BNVP-HDVs-psgr'!U$5)</f>
        <v>2420971.1981960293</v>
      </c>
      <c r="V8" s="4">
        <f>V$5*('BNVP-HDVs-psgr'!V$8/'BNVP-HDVs-psgr'!V$5)</f>
        <v>2397160.8104704125</v>
      </c>
      <c r="W8" s="4">
        <f>W$5*('BNVP-HDVs-psgr'!W$8/'BNVP-HDVs-psgr'!W$5)</f>
        <v>2374399.0875524054</v>
      </c>
      <c r="X8" s="4">
        <f>X$5*('BNVP-HDVs-psgr'!X$8/'BNVP-HDVs-psgr'!X$5)</f>
        <v>2352736.2992328075</v>
      </c>
      <c r="Y8" s="4">
        <f>Y$5*('BNVP-HDVs-psgr'!Y$8/'BNVP-HDVs-psgr'!Y$5)</f>
        <v>2331980.7087202664</v>
      </c>
      <c r="Z8" s="4">
        <f>Z$5*('BNVP-HDVs-psgr'!Z$8/'BNVP-HDVs-psgr'!Z$5)</f>
        <v>2312002.4886885341</v>
      </c>
      <c r="AA8" s="4">
        <f>AA$5*('BNVP-HDVs-psgr'!AA$8/'BNVP-HDVs-psgr'!AA$5)</f>
        <v>2292695.7619832228</v>
      </c>
      <c r="AB8" s="4">
        <f>AB$5*('BNVP-HDVs-psgr'!AB$8/'BNVP-HDVs-psgr'!AB$5)</f>
        <v>2273970.5191912777</v>
      </c>
      <c r="AC8" s="4">
        <f>AC$5*('BNVP-HDVs-psgr'!AC$8/'BNVP-HDVs-psgr'!AC$5)</f>
        <v>2255763.3476105975</v>
      </c>
      <c r="AD8" s="4">
        <f>AD$5*('BNVP-HDVs-psgr'!AD$8/'BNVP-HDVs-psgr'!AD$5)</f>
        <v>2237998.5936840833</v>
      </c>
      <c r="AE8" s="4">
        <f>AE$5*('BNVP-HDVs-psgr'!AE$8/'BNVP-HDVs-psgr'!AE$5)</f>
        <v>2220621.7588706077</v>
      </c>
      <c r="AF8" s="4">
        <f>AF$5*('BNVP-HDVs-psgr'!AF$8/'BNVP-HDVs-psgr'!AF$5)</f>
        <v>2203589.1988873873</v>
      </c>
      <c r="AG8" s="4">
        <f>AG$5*('BNVP-HDVs-psgr'!AG$8/'BNVP-HDVs-psgr'!AG$5)</f>
        <v>2186863.0024627969</v>
      </c>
      <c r="AH8" s="4"/>
      <c r="AI8" s="4"/>
      <c r="AJ8" s="24"/>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codeName="Sheet31">
    <tabColor theme="3"/>
  </sheetPr>
  <dimension ref="A1:AJ8"/>
  <sheetViews>
    <sheetView workbookViewId="0"/>
  </sheetViews>
  <sheetFormatPr defaultRowHeight="14.5" x14ac:dyDescent="0.35"/>
  <cols>
    <col min="1" max="1" width="24.3632812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B$5*('BNVP-HDVs-psgr'!B$2/'BNVP-HDVs-psgr'!B$5)</f>
        <v>3185653.9534883723</v>
      </c>
      <c r="C2" s="4">
        <f>C$5*('BNVP-HDVs-psgr'!C$2/'BNVP-HDVs-psgr'!C$5)</f>
        <v>3185653.9534883723</v>
      </c>
      <c r="D2" s="4">
        <f>D$5*('BNVP-HDVs-psgr'!D$2/'BNVP-HDVs-psgr'!D$5)</f>
        <v>2961754.1162852896</v>
      </c>
      <c r="E2" s="4">
        <f>E$5*('BNVP-HDVs-psgr'!E$2/'BNVP-HDVs-psgr'!E$5)</f>
        <v>2816215.4611677113</v>
      </c>
      <c r="F2" s="4">
        <f>F$5*('BNVP-HDVs-psgr'!F$2/'BNVP-HDVs-psgr'!F$5)</f>
        <v>2711616.0822039912</v>
      </c>
      <c r="G2" s="4">
        <f>G$5*('BNVP-HDVs-psgr'!G$2/'BNVP-HDVs-psgr'!G$5)</f>
        <v>2629632.4624897772</v>
      </c>
      <c r="H2" s="4">
        <f>H$5*('BNVP-HDVs-psgr'!H$2/'BNVP-HDVs-psgr'!H$5)</f>
        <v>2568950.0654959963</v>
      </c>
      <c r="I2" s="4">
        <f>I$5*('BNVP-HDVs-psgr'!I$2/'BNVP-HDVs-psgr'!I$5)</f>
        <v>2517508.8244831674</v>
      </c>
      <c r="J2" s="4">
        <f>J$5*('BNVP-HDVs-psgr'!J$2/'BNVP-HDVs-psgr'!J$5)</f>
        <v>2472512.5137009812</v>
      </c>
      <c r="K2" s="4">
        <f>K$5*('BNVP-HDVs-psgr'!K$2/'BNVP-HDVs-psgr'!K$5)</f>
        <v>2433829.7988913106</v>
      </c>
      <c r="L2" s="4">
        <f>L$5*('BNVP-HDVs-psgr'!L$2/'BNVP-HDVs-psgr'!L$5)</f>
        <v>2400084.0582394227</v>
      </c>
      <c r="M2" s="4">
        <f>M$5*('BNVP-HDVs-psgr'!M$2/'BNVP-HDVs-psgr'!M$5)</f>
        <v>2370303.4182351753</v>
      </c>
      <c r="N2" s="4">
        <f>N$5*('BNVP-HDVs-psgr'!N$2/'BNVP-HDVs-psgr'!N$5)</f>
        <v>2343924.335516423</v>
      </c>
      <c r="O2" s="4">
        <f>O$5*('BNVP-HDVs-psgr'!O$2/'BNVP-HDVs-psgr'!O$5)</f>
        <v>2320816.6697728392</v>
      </c>
      <c r="P2" s="4">
        <f>P$5*('BNVP-HDVs-psgr'!P$2/'BNVP-HDVs-psgr'!P$5)</f>
        <v>2300838.3412160878</v>
      </c>
      <c r="Q2" s="4">
        <f>Q$5*('BNVP-HDVs-psgr'!Q$2/'BNVP-HDVs-psgr'!Q$5)</f>
        <v>2283464.0128136575</v>
      </c>
      <c r="R2" s="4">
        <f>R$5*('BNVP-HDVs-psgr'!R$2/'BNVP-HDVs-psgr'!R$5)</f>
        <v>2268276.9967829464</v>
      </c>
      <c r="S2" s="4">
        <f>S$5*('BNVP-HDVs-psgr'!S$2/'BNVP-HDVs-psgr'!S$5)</f>
        <v>2254701.8102837969</v>
      </c>
      <c r="T2" s="4">
        <f>T$5*('BNVP-HDVs-psgr'!T$2/'BNVP-HDVs-psgr'!T$5)</f>
        <v>2242800.5386018688</v>
      </c>
      <c r="U2" s="4">
        <f>U$5*('BNVP-HDVs-psgr'!U$2/'BNVP-HDVs-psgr'!U$5)</f>
        <v>2232267.5311000654</v>
      </c>
      <c r="V2" s="4">
        <f>V$5*('BNVP-HDVs-psgr'!V$2/'BNVP-HDVs-psgr'!V$5)</f>
        <v>2222815.0463583092</v>
      </c>
      <c r="W2" s="4">
        <f>W$5*('BNVP-HDVs-psgr'!W$2/'BNVP-HDVs-psgr'!W$5)</f>
        <v>2214232.9495635964</v>
      </c>
      <c r="X2" s="4">
        <f>X$5*('BNVP-HDVs-psgr'!X$2/'BNVP-HDVs-psgr'!X$5)</f>
        <v>2206583.3260015864</v>
      </c>
      <c r="Y2" s="4">
        <f>Y$5*('BNVP-HDVs-psgr'!Y$2/'BNVP-HDVs-psgr'!Y$5)</f>
        <v>2199701.4108757204</v>
      </c>
      <c r="Z2" s="4">
        <f>Z$5*('BNVP-HDVs-psgr'!Z$2/'BNVP-HDVs-psgr'!Z$5)</f>
        <v>2193477.3609882914</v>
      </c>
      <c r="AA2" s="4">
        <f>AA$5*('BNVP-HDVs-psgr'!AA$2/'BNVP-HDVs-psgr'!AA$5)</f>
        <v>2187821.6302542132</v>
      </c>
      <c r="AB2" s="4">
        <f>AB$5*('BNVP-HDVs-psgr'!AB$2/'BNVP-HDVs-psgr'!AB$5)</f>
        <v>2182657.8060142109</v>
      </c>
      <c r="AC2" s="4">
        <f>AC$5*('BNVP-HDVs-psgr'!AC$2/'BNVP-HDVs-psgr'!AC$5)</f>
        <v>2177933.3545650346</v>
      </c>
      <c r="AD2" s="4">
        <f>AD$5*('BNVP-HDVs-psgr'!AD$2/'BNVP-HDVs-psgr'!AD$5)</f>
        <v>2173582.6087776199</v>
      </c>
      <c r="AE2" s="4">
        <f>AE$5*('BNVP-HDVs-psgr'!AE$2/'BNVP-HDVs-psgr'!AE$5)</f>
        <v>2169559.0046877223</v>
      </c>
      <c r="AF2" s="4">
        <f>AF$5*('BNVP-HDVs-psgr'!AF$2/'BNVP-HDVs-psgr'!AF$5)</f>
        <v>2165825.529913506</v>
      </c>
      <c r="AG2" s="4">
        <f>AG$5*('BNVP-HDVs-psgr'!AG$2/'BNVP-HDVs-psgr'!AG$5)</f>
        <v>2162349.9478643392</v>
      </c>
      <c r="AH2" s="4"/>
      <c r="AI2" s="4"/>
    </row>
    <row r="3" spans="1:36" x14ac:dyDescent="0.3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3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35">
      <c r="A5" t="s">
        <v>3</v>
      </c>
      <c r="B5" s="12">
        <v>2500000</v>
      </c>
      <c r="C5">
        <f t="shared" ref="C5:AG5" si="0">$B5</f>
        <v>2500000</v>
      </c>
      <c r="D5">
        <f t="shared" si="0"/>
        <v>2500000</v>
      </c>
      <c r="E5">
        <f t="shared" si="0"/>
        <v>2500000</v>
      </c>
      <c r="F5">
        <f t="shared" si="0"/>
        <v>2500000</v>
      </c>
      <c r="G5">
        <f t="shared" si="0"/>
        <v>2500000</v>
      </c>
      <c r="H5">
        <f t="shared" si="0"/>
        <v>2500000</v>
      </c>
      <c r="I5">
        <f t="shared" si="0"/>
        <v>2500000</v>
      </c>
      <c r="J5">
        <f t="shared" si="0"/>
        <v>2500000</v>
      </c>
      <c r="K5">
        <f t="shared" si="0"/>
        <v>2500000</v>
      </c>
      <c r="L5">
        <f t="shared" si="0"/>
        <v>2500000</v>
      </c>
      <c r="M5">
        <f t="shared" si="0"/>
        <v>2500000</v>
      </c>
      <c r="N5">
        <f t="shared" si="0"/>
        <v>2500000</v>
      </c>
      <c r="O5">
        <f t="shared" si="0"/>
        <v>2500000</v>
      </c>
      <c r="P5">
        <f t="shared" si="0"/>
        <v>2500000</v>
      </c>
      <c r="Q5">
        <f t="shared" si="0"/>
        <v>2500000</v>
      </c>
      <c r="R5">
        <f t="shared" si="0"/>
        <v>2500000</v>
      </c>
      <c r="S5">
        <f t="shared" si="0"/>
        <v>2500000</v>
      </c>
      <c r="T5">
        <f t="shared" si="0"/>
        <v>2500000</v>
      </c>
      <c r="U5">
        <f t="shared" si="0"/>
        <v>2500000</v>
      </c>
      <c r="V5">
        <f t="shared" si="0"/>
        <v>2500000</v>
      </c>
      <c r="W5">
        <f t="shared" si="0"/>
        <v>2500000</v>
      </c>
      <c r="X5">
        <f t="shared" si="0"/>
        <v>2500000</v>
      </c>
      <c r="Y5">
        <f t="shared" si="0"/>
        <v>2500000</v>
      </c>
      <c r="Z5">
        <f t="shared" si="0"/>
        <v>2500000</v>
      </c>
      <c r="AA5">
        <f t="shared" si="0"/>
        <v>2500000</v>
      </c>
      <c r="AB5">
        <f t="shared" si="0"/>
        <v>2500000</v>
      </c>
      <c r="AC5">
        <f t="shared" si="0"/>
        <v>2500000</v>
      </c>
      <c r="AD5">
        <f t="shared" si="0"/>
        <v>2500000</v>
      </c>
      <c r="AE5">
        <f t="shared" si="0"/>
        <v>2500000</v>
      </c>
      <c r="AF5">
        <f t="shared" si="0"/>
        <v>2500000</v>
      </c>
      <c r="AG5">
        <f t="shared" si="0"/>
        <v>2500000</v>
      </c>
    </row>
    <row r="6" spans="1:36" x14ac:dyDescent="0.3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3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35">
      <c r="A8" s="5" t="s">
        <v>566</v>
      </c>
      <c r="B8" s="4">
        <f>B$5*('BNVP-HDVs-psgr'!B$8/'BNVP-HDVs-psgr'!B$5)</f>
        <v>4095840.7973421928</v>
      </c>
      <c r="C8" s="4">
        <f>C$5*('BNVP-HDVs-psgr'!C$8/'BNVP-HDVs-psgr'!C$5)</f>
        <v>4095840.7973421928</v>
      </c>
      <c r="D8" s="4">
        <f>D$5*('BNVP-HDVs-psgr'!D$8/'BNVP-HDVs-psgr'!D$5)</f>
        <v>3676581.9611073299</v>
      </c>
      <c r="E8" s="4">
        <f>E$5*('BNVP-HDVs-psgr'!E$8/'BNVP-HDVs-psgr'!E$5)</f>
        <v>3422836.9996295101</v>
      </c>
      <c r="F8" s="4">
        <f>F$5*('BNVP-HDVs-psgr'!F$8/'BNVP-HDVs-psgr'!F$5)</f>
        <v>3245781.2568682646</v>
      </c>
      <c r="G8" s="4">
        <f>G$5*('BNVP-HDVs-psgr'!G$8/'BNVP-HDVs-psgr'!G$5)</f>
        <v>3110093.2916236389</v>
      </c>
      <c r="H8" s="4">
        <f>H$5*('BNVP-HDVs-psgr'!H$8/'BNVP-HDVs-psgr'!H$5)</f>
        <v>3008347.5997219579</v>
      </c>
      <c r="I8" s="4">
        <f>I$5*('BNVP-HDVs-psgr'!I$8/'BNVP-HDVs-psgr'!I$5)</f>
        <v>2923270.9178483081</v>
      </c>
      <c r="J8" s="4">
        <f>J$5*('BNVP-HDVs-psgr'!J$8/'BNVP-HDVs-psgr'!J$5)</f>
        <v>2849892.1655406547</v>
      </c>
      <c r="K8" s="4">
        <f>K$5*('BNVP-HDVs-psgr'!K$8/'BNVP-HDVs-psgr'!K$5)</f>
        <v>2786958.8197563412</v>
      </c>
      <c r="L8" s="4">
        <f>L$5*('BNVP-HDVs-psgr'!L$8/'BNVP-HDVs-psgr'!L$5)</f>
        <v>2732132.9030297198</v>
      </c>
      <c r="M8" s="4">
        <f>M$5*('BNVP-HDVs-psgr'!M$8/'BNVP-HDVs-psgr'!M$5)</f>
        <v>2683773.6471545957</v>
      </c>
      <c r="N8" s="4">
        <f>N$5*('BNVP-HDVs-psgr'!N$8/'BNVP-HDVs-psgr'!N$5)</f>
        <v>2642149.9898605351</v>
      </c>
      <c r="O8" s="4">
        <f>O$5*('BNVP-HDVs-psgr'!O$8/'BNVP-HDVs-psgr'!O$5)</f>
        <v>2601945.6182858353</v>
      </c>
      <c r="P8" s="4">
        <f>P$5*('BNVP-HDVs-psgr'!P$8/'BNVP-HDVs-psgr'!P$5)</f>
        <v>2565512.4700391833</v>
      </c>
      <c r="Q8" s="4">
        <f>Q$5*('BNVP-HDVs-psgr'!Q$8/'BNVP-HDVs-psgr'!Q$5)</f>
        <v>2532210.7155854902</v>
      </c>
      <c r="R8" s="4">
        <f>R$5*('BNVP-HDVs-psgr'!R$8/'BNVP-HDVs-psgr'!R$5)</f>
        <v>2501533.1653963318</v>
      </c>
      <c r="S8" s="4">
        <f>S$5*('BNVP-HDVs-psgr'!S$8/'BNVP-HDVs-psgr'!S$5)</f>
        <v>2472808.6409034142</v>
      </c>
      <c r="T8" s="4">
        <f>T$5*('BNVP-HDVs-psgr'!T$8/'BNVP-HDVs-psgr'!T$5)</f>
        <v>2446075.3586909282</v>
      </c>
      <c r="U8" s="4">
        <f>U$5*('BNVP-HDVs-psgr'!U$8/'BNVP-HDVs-psgr'!U$5)</f>
        <v>2420971.1981960293</v>
      </c>
      <c r="V8" s="4">
        <f>V$5*('BNVP-HDVs-psgr'!V$8/'BNVP-HDVs-psgr'!V$5)</f>
        <v>2397160.8104704125</v>
      </c>
      <c r="W8" s="4">
        <f>W$5*('BNVP-HDVs-psgr'!W$8/'BNVP-HDVs-psgr'!W$5)</f>
        <v>2374399.0875524054</v>
      </c>
      <c r="X8" s="4">
        <f>X$5*('BNVP-HDVs-psgr'!X$8/'BNVP-HDVs-psgr'!X$5)</f>
        <v>2352736.2992328075</v>
      </c>
      <c r="Y8" s="4">
        <f>Y$5*('BNVP-HDVs-psgr'!Y$8/'BNVP-HDVs-psgr'!Y$5)</f>
        <v>2331980.7087202664</v>
      </c>
      <c r="Z8" s="4">
        <f>Z$5*('BNVP-HDVs-psgr'!Z$8/'BNVP-HDVs-psgr'!Z$5)</f>
        <v>2312002.4886885341</v>
      </c>
      <c r="AA8" s="4">
        <f>AA$5*('BNVP-HDVs-psgr'!AA$8/'BNVP-HDVs-psgr'!AA$5)</f>
        <v>2292695.7619832228</v>
      </c>
      <c r="AB8" s="4">
        <f>AB$5*('BNVP-HDVs-psgr'!AB$8/'BNVP-HDVs-psgr'!AB$5)</f>
        <v>2273970.5191912777</v>
      </c>
      <c r="AC8" s="4">
        <f>AC$5*('BNVP-HDVs-psgr'!AC$8/'BNVP-HDVs-psgr'!AC$5)</f>
        <v>2255763.3476105975</v>
      </c>
      <c r="AD8" s="4">
        <f>AD$5*('BNVP-HDVs-psgr'!AD$8/'BNVP-HDVs-psgr'!AD$5)</f>
        <v>2237998.5936840833</v>
      </c>
      <c r="AE8" s="4">
        <f>AE$5*('BNVP-HDVs-psgr'!AE$8/'BNVP-HDVs-psgr'!AE$5)</f>
        <v>2220621.7588706077</v>
      </c>
      <c r="AF8" s="4">
        <f>AF$5*('BNVP-HDVs-psgr'!AF$8/'BNVP-HDVs-psgr'!AF$5)</f>
        <v>2203589.1988873873</v>
      </c>
      <c r="AG8" s="4">
        <f>AG$5*('BNVP-HDVs-psgr'!AG$8/'BNVP-HDVs-psgr'!AG$5)</f>
        <v>2186863.0024627969</v>
      </c>
      <c r="AH8" s="4"/>
      <c r="AI8" s="4"/>
      <c r="AJ8" s="24"/>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934881-0CD1-40C8-83F1-8AB920069DBF}">
  <sheetPr codeName="Sheet3">
    <tabColor theme="7" tint="0.39997558519241921"/>
  </sheetPr>
  <dimension ref="A1:AI212"/>
  <sheetViews>
    <sheetView zoomScale="85" zoomScaleNormal="85" workbookViewId="0">
      <selection activeCell="A13" sqref="A13"/>
    </sheetView>
  </sheetViews>
  <sheetFormatPr defaultColWidth="8.7265625" defaultRowHeight="14.5" x14ac:dyDescent="0.35"/>
  <cols>
    <col min="1" max="1" width="29.90625" style="74" customWidth="1"/>
    <col min="2" max="2" width="15" style="74" customWidth="1"/>
    <col min="3" max="3" width="13" style="74" customWidth="1"/>
    <col min="4" max="4" width="12.453125" style="74" customWidth="1"/>
    <col min="5" max="6" width="11.81640625" style="74" bestFit="1" customWidth="1"/>
    <col min="7" max="7" width="14.453125" style="74" customWidth="1"/>
    <col min="8" max="13" width="11.81640625" style="74" bestFit="1" customWidth="1"/>
    <col min="14" max="35" width="10.81640625" style="74" bestFit="1" customWidth="1"/>
    <col min="36" max="16384" width="8.7265625" style="74"/>
  </cols>
  <sheetData>
    <row r="1" spans="1:35" x14ac:dyDescent="0.35">
      <c r="B1" s="101">
        <v>2017</v>
      </c>
      <c r="C1" s="101">
        <v>2018</v>
      </c>
      <c r="D1" s="101">
        <v>2019</v>
      </c>
      <c r="E1" s="101">
        <f>D1+1</f>
        <v>2020</v>
      </c>
      <c r="F1" s="101">
        <f t="shared" ref="F1:O1" si="0">E1+1</f>
        <v>2021</v>
      </c>
      <c r="G1" s="101">
        <f t="shared" si="0"/>
        <v>2022</v>
      </c>
      <c r="H1" s="101">
        <f t="shared" si="0"/>
        <v>2023</v>
      </c>
      <c r="I1" s="101">
        <f t="shared" si="0"/>
        <v>2024</v>
      </c>
      <c r="J1" s="101">
        <f t="shared" si="0"/>
        <v>2025</v>
      </c>
      <c r="K1" s="101">
        <f t="shared" si="0"/>
        <v>2026</v>
      </c>
      <c r="L1" s="101">
        <f t="shared" si="0"/>
        <v>2027</v>
      </c>
      <c r="M1" s="101">
        <f t="shared" si="0"/>
        <v>2028</v>
      </c>
      <c r="N1" s="101">
        <f t="shared" si="0"/>
        <v>2029</v>
      </c>
      <c r="O1" s="101">
        <f t="shared" si="0"/>
        <v>2030</v>
      </c>
      <c r="P1" s="101">
        <f>O1+1</f>
        <v>2031</v>
      </c>
      <c r="Q1" s="101">
        <f t="shared" ref="Q1:AD1" si="1">P1+1</f>
        <v>2032</v>
      </c>
      <c r="R1" s="101">
        <f t="shared" si="1"/>
        <v>2033</v>
      </c>
      <c r="S1" s="101">
        <f t="shared" si="1"/>
        <v>2034</v>
      </c>
      <c r="T1" s="101">
        <f t="shared" si="1"/>
        <v>2035</v>
      </c>
      <c r="U1" s="101">
        <f t="shared" si="1"/>
        <v>2036</v>
      </c>
      <c r="V1" s="101">
        <f t="shared" si="1"/>
        <v>2037</v>
      </c>
      <c r="W1" s="101">
        <f t="shared" si="1"/>
        <v>2038</v>
      </c>
      <c r="X1" s="101">
        <f t="shared" si="1"/>
        <v>2039</v>
      </c>
      <c r="Y1" s="101">
        <f t="shared" si="1"/>
        <v>2040</v>
      </c>
      <c r="Z1" s="101">
        <f t="shared" si="1"/>
        <v>2041</v>
      </c>
      <c r="AA1" s="101">
        <f t="shared" si="1"/>
        <v>2042</v>
      </c>
      <c r="AB1" s="101">
        <f t="shared" si="1"/>
        <v>2043</v>
      </c>
      <c r="AC1" s="101">
        <f t="shared" si="1"/>
        <v>2044</v>
      </c>
      <c r="AD1" s="101">
        <f t="shared" si="1"/>
        <v>2045</v>
      </c>
      <c r="AE1" s="101">
        <f>AD1+1</f>
        <v>2046</v>
      </c>
      <c r="AF1" s="101">
        <f t="shared" ref="AF1:AI1" si="2">AE1+1</f>
        <v>2047</v>
      </c>
      <c r="AG1" s="101">
        <f t="shared" si="2"/>
        <v>2048</v>
      </c>
      <c r="AH1" s="101">
        <f t="shared" si="2"/>
        <v>2049</v>
      </c>
      <c r="AI1" s="101">
        <f t="shared" si="2"/>
        <v>2050</v>
      </c>
    </row>
    <row r="2" spans="1:35" x14ac:dyDescent="0.35">
      <c r="A2" s="74" t="s">
        <v>793</v>
      </c>
      <c r="C2" s="83"/>
    </row>
    <row r="3" spans="1:35" x14ac:dyDescent="0.35">
      <c r="A3" s="74" t="s">
        <v>777</v>
      </c>
      <c r="B3" s="68">
        <f t="shared" ref="B3:AI3" si="3">B4*cpi_2018to2012</f>
        <v>32064.339724090984</v>
      </c>
      <c r="C3" s="68">
        <f t="shared" si="3"/>
        <v>32178.589724090984</v>
      </c>
      <c r="D3" s="68">
        <f t="shared" si="3"/>
        <v>32292.839724090984</v>
      </c>
      <c r="E3" s="68">
        <f t="shared" si="3"/>
        <v>32407.089724090984</v>
      </c>
      <c r="F3" s="68">
        <f t="shared" si="3"/>
        <v>32521.339724090984</v>
      </c>
      <c r="G3" s="68">
        <f t="shared" si="3"/>
        <v>32635.589724090984</v>
      </c>
      <c r="H3" s="68">
        <f t="shared" si="3"/>
        <v>32749.839724090984</v>
      </c>
      <c r="I3" s="68">
        <f t="shared" si="3"/>
        <v>32864.089724090984</v>
      </c>
      <c r="J3" s="68">
        <f t="shared" si="3"/>
        <v>32978.339724090984</v>
      </c>
      <c r="K3" s="68">
        <f t="shared" si="3"/>
        <v>32978.339724090984</v>
      </c>
      <c r="L3" s="68">
        <f t="shared" si="3"/>
        <v>32978.339724090984</v>
      </c>
      <c r="M3" s="68">
        <f t="shared" si="3"/>
        <v>32978.339724090984</v>
      </c>
      <c r="N3" s="68">
        <f t="shared" si="3"/>
        <v>32978.339724090984</v>
      </c>
      <c r="O3" s="68">
        <f t="shared" si="3"/>
        <v>32978.339724090984</v>
      </c>
      <c r="P3" s="68">
        <f t="shared" si="3"/>
        <v>32978.339724090984</v>
      </c>
      <c r="Q3" s="68">
        <f t="shared" si="3"/>
        <v>32978.339724090984</v>
      </c>
      <c r="R3" s="68">
        <f t="shared" si="3"/>
        <v>32978.339724090984</v>
      </c>
      <c r="S3" s="68">
        <f t="shared" si="3"/>
        <v>32978.339724090984</v>
      </c>
      <c r="T3" s="68">
        <f t="shared" si="3"/>
        <v>32978.339724090984</v>
      </c>
      <c r="U3" s="68">
        <f t="shared" si="3"/>
        <v>32978.339724090984</v>
      </c>
      <c r="V3" s="68">
        <f t="shared" si="3"/>
        <v>32978.339724090984</v>
      </c>
      <c r="W3" s="68">
        <f t="shared" si="3"/>
        <v>32978.339724090984</v>
      </c>
      <c r="X3" s="68">
        <f t="shared" si="3"/>
        <v>32978.339724090984</v>
      </c>
      <c r="Y3" s="68">
        <f t="shared" si="3"/>
        <v>32978.339724090984</v>
      </c>
      <c r="Z3" s="68">
        <f t="shared" si="3"/>
        <v>32978.339724090984</v>
      </c>
      <c r="AA3" s="68">
        <f t="shared" si="3"/>
        <v>32978.339724090984</v>
      </c>
      <c r="AB3" s="68">
        <f t="shared" si="3"/>
        <v>32978.339724090984</v>
      </c>
      <c r="AC3" s="68">
        <f t="shared" si="3"/>
        <v>32978.339724090984</v>
      </c>
      <c r="AD3" s="68">
        <f t="shared" si="3"/>
        <v>32978.339724090984</v>
      </c>
      <c r="AE3" s="68">
        <f t="shared" si="3"/>
        <v>32978.339724090984</v>
      </c>
      <c r="AF3" s="68">
        <f t="shared" si="3"/>
        <v>32978.339724090984</v>
      </c>
      <c r="AG3" s="68">
        <f t="shared" si="3"/>
        <v>32978.339724090984</v>
      </c>
      <c r="AH3" s="68">
        <f t="shared" si="3"/>
        <v>32978.339724090984</v>
      </c>
      <c r="AI3" s="68">
        <f t="shared" si="3"/>
        <v>32978.339724090984</v>
      </c>
    </row>
    <row r="4" spans="1:35" x14ac:dyDescent="0.35">
      <c r="A4" s="74" t="s">
        <v>778</v>
      </c>
      <c r="B4" s="68">
        <f>B7*'LDV sales'!B89+B8*'LDV sales'!B90</f>
        <v>35081.334490252717</v>
      </c>
      <c r="C4" s="68">
        <f>B4+C60</f>
        <v>35206.334490252717</v>
      </c>
      <c r="D4" s="68">
        <f>C4+$C$60</f>
        <v>35331.334490252717</v>
      </c>
      <c r="E4" s="68">
        <f t="shared" ref="E4:J4" si="4">D4+$C$60</f>
        <v>35456.334490252717</v>
      </c>
      <c r="F4" s="68">
        <f t="shared" si="4"/>
        <v>35581.334490252717</v>
      </c>
      <c r="G4" s="68">
        <f t="shared" si="4"/>
        <v>35706.334490252717</v>
      </c>
      <c r="H4" s="68">
        <f t="shared" si="4"/>
        <v>35831.334490252717</v>
      </c>
      <c r="I4" s="68">
        <f t="shared" si="4"/>
        <v>35956.334490252717</v>
      </c>
      <c r="J4" s="68">
        <f t="shared" si="4"/>
        <v>36081.334490252717</v>
      </c>
      <c r="K4" s="68">
        <f>$J$4</f>
        <v>36081.334490252717</v>
      </c>
      <c r="L4" s="68">
        <f t="shared" ref="L4:O4" si="5">$J$4</f>
        <v>36081.334490252717</v>
      </c>
      <c r="M4" s="68">
        <f t="shared" si="5"/>
        <v>36081.334490252717</v>
      </c>
      <c r="N4" s="68">
        <f t="shared" si="5"/>
        <v>36081.334490252717</v>
      </c>
      <c r="O4" s="68">
        <f t="shared" si="5"/>
        <v>36081.334490252717</v>
      </c>
      <c r="P4" s="68">
        <f>O4</f>
        <v>36081.334490252717</v>
      </c>
      <c r="Q4" s="68">
        <f t="shared" ref="Q4:AD4" si="6">P4</f>
        <v>36081.334490252717</v>
      </c>
      <c r="R4" s="68">
        <f t="shared" si="6"/>
        <v>36081.334490252717</v>
      </c>
      <c r="S4" s="68">
        <f t="shared" si="6"/>
        <v>36081.334490252717</v>
      </c>
      <c r="T4" s="68">
        <f t="shared" si="6"/>
        <v>36081.334490252717</v>
      </c>
      <c r="U4" s="68">
        <f t="shared" si="6"/>
        <v>36081.334490252717</v>
      </c>
      <c r="V4" s="68">
        <f t="shared" si="6"/>
        <v>36081.334490252717</v>
      </c>
      <c r="W4" s="68">
        <f t="shared" si="6"/>
        <v>36081.334490252717</v>
      </c>
      <c r="X4" s="68">
        <f t="shared" si="6"/>
        <v>36081.334490252717</v>
      </c>
      <c r="Y4" s="68">
        <f t="shared" si="6"/>
        <v>36081.334490252717</v>
      </c>
      <c r="Z4" s="68">
        <f t="shared" si="6"/>
        <v>36081.334490252717</v>
      </c>
      <c r="AA4" s="68">
        <f t="shared" si="6"/>
        <v>36081.334490252717</v>
      </c>
      <c r="AB4" s="68">
        <f t="shared" si="6"/>
        <v>36081.334490252717</v>
      </c>
      <c r="AC4" s="68">
        <f t="shared" si="6"/>
        <v>36081.334490252717</v>
      </c>
      <c r="AD4" s="68">
        <f t="shared" si="6"/>
        <v>36081.334490252717</v>
      </c>
      <c r="AE4" s="68">
        <f>AD4</f>
        <v>36081.334490252717</v>
      </c>
      <c r="AF4" s="68">
        <f t="shared" ref="AF4:AI4" si="7">AE4</f>
        <v>36081.334490252717</v>
      </c>
      <c r="AG4" s="68">
        <f t="shared" si="7"/>
        <v>36081.334490252717</v>
      </c>
      <c r="AH4" s="68">
        <f t="shared" si="7"/>
        <v>36081.334490252717</v>
      </c>
      <c r="AI4" s="68">
        <f t="shared" si="7"/>
        <v>36081.334490252717</v>
      </c>
    </row>
    <row r="6" spans="1:35" x14ac:dyDescent="0.35">
      <c r="A6" s="105" t="s">
        <v>860</v>
      </c>
      <c r="B6" s="105"/>
      <c r="C6" s="105"/>
      <c r="D6" s="105"/>
      <c r="E6" s="105"/>
      <c r="F6" s="105"/>
      <c r="G6" s="106"/>
      <c r="H6" s="106"/>
      <c r="I6" s="106"/>
      <c r="J6" s="106"/>
      <c r="K6" s="106"/>
      <c r="L6" s="106"/>
      <c r="M6" s="106"/>
      <c r="N6" s="106"/>
      <c r="O6" s="106"/>
      <c r="P6" s="106"/>
      <c r="Q6" s="106"/>
      <c r="R6" s="106"/>
      <c r="S6" s="106"/>
      <c r="T6" s="106"/>
      <c r="U6" s="106"/>
      <c r="V6" s="106"/>
      <c r="W6" s="106"/>
      <c r="X6" s="106"/>
      <c r="Y6" s="106"/>
      <c r="Z6" s="106"/>
      <c r="AA6" s="106"/>
      <c r="AB6" s="106"/>
      <c r="AC6" s="106"/>
      <c r="AD6" s="106"/>
      <c r="AE6" s="106"/>
      <c r="AF6" s="106"/>
      <c r="AG6" s="106"/>
      <c r="AH6" s="106"/>
      <c r="AI6" s="106"/>
    </row>
    <row r="7" spans="1:35" x14ac:dyDescent="0.35">
      <c r="A7" s="74" t="s">
        <v>794</v>
      </c>
      <c r="B7" s="70">
        <f>$B$38</f>
        <v>28706.012500000001</v>
      </c>
      <c r="D7" s="70"/>
      <c r="E7" s="70"/>
      <c r="F7" s="70"/>
      <c r="G7" s="70"/>
      <c r="H7" s="70"/>
      <c r="I7" s="70"/>
      <c r="J7" s="70"/>
      <c r="K7" s="70"/>
      <c r="L7" s="70"/>
      <c r="M7" s="70"/>
      <c r="N7" s="70"/>
      <c r="O7" s="70"/>
    </row>
    <row r="8" spans="1:35" x14ac:dyDescent="0.35">
      <c r="A8" s="74" t="s">
        <v>783</v>
      </c>
      <c r="B8" s="70">
        <f>$C$38</f>
        <v>39946.605243002836</v>
      </c>
      <c r="D8" s="70"/>
      <c r="E8" s="70"/>
      <c r="F8" s="70"/>
      <c r="G8" s="70"/>
      <c r="H8" s="70"/>
      <c r="I8" s="70"/>
      <c r="J8" s="70"/>
      <c r="K8" s="70"/>
      <c r="L8" s="70"/>
      <c r="M8" s="70"/>
      <c r="N8" s="70"/>
      <c r="O8" s="70"/>
    </row>
    <row r="10" spans="1:35" x14ac:dyDescent="0.35">
      <c r="A10" s="105" t="s">
        <v>795</v>
      </c>
      <c r="B10" s="106"/>
      <c r="C10" s="106"/>
      <c r="D10" s="106"/>
      <c r="E10" s="106"/>
      <c r="F10" s="106"/>
      <c r="G10" s="106"/>
      <c r="H10" s="106"/>
      <c r="I10" s="106"/>
      <c r="J10" s="106"/>
      <c r="K10" s="106"/>
      <c r="L10" s="106"/>
      <c r="M10" s="106"/>
      <c r="N10" s="106"/>
      <c r="O10" s="106"/>
      <c r="P10" s="106"/>
      <c r="Q10" s="106"/>
      <c r="R10" s="106"/>
      <c r="S10" s="106"/>
      <c r="T10" s="106"/>
      <c r="U10" s="106"/>
      <c r="V10" s="106"/>
      <c r="W10" s="106"/>
      <c r="X10" s="106"/>
      <c r="Y10" s="106"/>
      <c r="Z10" s="106"/>
      <c r="AA10" s="106"/>
      <c r="AB10" s="106"/>
      <c r="AC10" s="106"/>
      <c r="AD10" s="106"/>
      <c r="AE10" s="106"/>
      <c r="AF10" s="106"/>
      <c r="AG10" s="106"/>
      <c r="AH10" s="106"/>
      <c r="AI10" s="106"/>
    </row>
    <row r="11" spans="1:35" x14ac:dyDescent="0.35">
      <c r="A11" s="74" t="s">
        <v>883</v>
      </c>
    </row>
    <row r="12" spans="1:35" x14ac:dyDescent="0.35">
      <c r="A12" s="74" t="s">
        <v>882</v>
      </c>
    </row>
    <row r="14" spans="1:35" ht="29" x14ac:dyDescent="0.35">
      <c r="B14" s="101" t="s">
        <v>796</v>
      </c>
      <c r="C14" s="110" t="s">
        <v>786</v>
      </c>
      <c r="D14" s="101" t="s">
        <v>797</v>
      </c>
      <c r="E14" s="101" t="s">
        <v>788</v>
      </c>
    </row>
    <row r="15" spans="1:35" x14ac:dyDescent="0.35">
      <c r="A15" s="74" t="s">
        <v>798</v>
      </c>
      <c r="B15" s="111">
        <v>6800</v>
      </c>
      <c r="C15" s="112">
        <f>B15*1.18</f>
        <v>8024</v>
      </c>
      <c r="D15" s="112">
        <f>B15*1.74</f>
        <v>11832</v>
      </c>
      <c r="E15" s="112">
        <f>D15*B94</f>
        <v>17206.535593220338</v>
      </c>
    </row>
    <row r="16" spans="1:35" x14ac:dyDescent="0.35">
      <c r="A16" s="74" t="s">
        <v>781</v>
      </c>
      <c r="B16" s="111">
        <v>12700</v>
      </c>
      <c r="C16" s="112">
        <f>B16*1.155</f>
        <v>14668.5</v>
      </c>
      <c r="D16" s="112">
        <f>B16*1.21</f>
        <v>15367</v>
      </c>
      <c r="E16" s="112">
        <f>D16*B84</f>
        <v>17950.096439837766</v>
      </c>
    </row>
    <row r="17" spans="1:35" x14ac:dyDescent="0.35">
      <c r="A17" s="103" t="s">
        <v>790</v>
      </c>
      <c r="B17" s="113">
        <f>SUM(B15:B16)</f>
        <v>19500</v>
      </c>
      <c r="C17" s="113">
        <f>SUM(C15:C16)</f>
        <v>22692.5</v>
      </c>
      <c r="D17" s="113">
        <f>SUM(D15:D16)</f>
        <v>27199</v>
      </c>
      <c r="E17" s="113">
        <f>SUM(E15:E16)</f>
        <v>35156.632033058107</v>
      </c>
    </row>
    <row r="18" spans="1:35" x14ac:dyDescent="0.35">
      <c r="B18" s="112"/>
      <c r="C18" s="112"/>
      <c r="D18" s="112"/>
      <c r="E18" s="112"/>
    </row>
    <row r="19" spans="1:35" x14ac:dyDescent="0.35">
      <c r="A19" s="74" t="s">
        <v>791</v>
      </c>
      <c r="B19" s="112">
        <f>'LDV psg EV specs'!B94</f>
        <v>0.05</v>
      </c>
      <c r="C19" s="112">
        <f>'LDV psg EV specs'!B95</f>
        <v>0.1</v>
      </c>
      <c r="D19" s="112">
        <f>'LDV psg EV specs'!B96</f>
        <v>0.15</v>
      </c>
      <c r="E19" s="112">
        <f>'LDV psg EV specs'!B97</f>
        <v>0.25</v>
      </c>
    </row>
    <row r="21" spans="1:35" x14ac:dyDescent="0.35">
      <c r="A21" s="105" t="s">
        <v>799</v>
      </c>
      <c r="B21" s="106"/>
      <c r="C21" s="106"/>
      <c r="D21" s="106"/>
      <c r="E21" s="106"/>
      <c r="F21" s="106"/>
      <c r="G21" s="106"/>
      <c r="H21" s="106"/>
      <c r="I21" s="106"/>
      <c r="J21" s="106"/>
      <c r="K21" s="106"/>
      <c r="L21" s="106"/>
      <c r="M21" s="106"/>
      <c r="N21" s="106"/>
      <c r="O21" s="106"/>
      <c r="P21" s="106"/>
      <c r="Q21" s="106"/>
      <c r="R21" s="106"/>
      <c r="S21" s="106"/>
      <c r="T21" s="106"/>
      <c r="U21" s="106"/>
      <c r="V21" s="106"/>
      <c r="W21" s="106"/>
      <c r="X21" s="106"/>
      <c r="Y21" s="106"/>
      <c r="Z21" s="106"/>
      <c r="AA21" s="106"/>
      <c r="AB21" s="106"/>
      <c r="AC21" s="106"/>
      <c r="AD21" s="106"/>
      <c r="AE21" s="106"/>
      <c r="AF21" s="106"/>
      <c r="AG21" s="106"/>
      <c r="AH21" s="106"/>
      <c r="AI21" s="106"/>
    </row>
    <row r="22" spans="1:35" x14ac:dyDescent="0.35">
      <c r="A22" s="74" t="s">
        <v>800</v>
      </c>
    </row>
    <row r="23" spans="1:35" x14ac:dyDescent="0.35">
      <c r="A23" s="74" t="s">
        <v>782</v>
      </c>
      <c r="B23" s="74" t="s">
        <v>895</v>
      </c>
    </row>
    <row r="24" spans="1:35" x14ac:dyDescent="0.35">
      <c r="A24" s="84">
        <f>'LDV psg gasoline'!B81</f>
        <v>0.71423676062080999</v>
      </c>
      <c r="B24" s="84">
        <f>'LDV psg gasoline'!B80</f>
        <v>0.28576323937919007</v>
      </c>
    </row>
    <row r="25" spans="1:35" x14ac:dyDescent="0.35">
      <c r="A25" s="74" t="s">
        <v>801</v>
      </c>
    </row>
    <row r="26" spans="1:35" x14ac:dyDescent="0.35">
      <c r="A26" s="68">
        <f>A24*D17+B24*E17</f>
        <v>29472.998707554296</v>
      </c>
      <c r="B26" s="74" t="s">
        <v>802</v>
      </c>
    </row>
    <row r="27" spans="1:35" x14ac:dyDescent="0.35">
      <c r="A27" s="21">
        <f>A24*D19+E19*B24</f>
        <v>0.178576323937919</v>
      </c>
      <c r="B27" s="71" t="s">
        <v>791</v>
      </c>
    </row>
    <row r="28" spans="1:35" x14ac:dyDescent="0.35">
      <c r="C28" s="69"/>
    </row>
    <row r="29" spans="1:35" x14ac:dyDescent="0.35">
      <c r="A29" s="108" t="s">
        <v>803</v>
      </c>
      <c r="B29" s="108"/>
      <c r="C29" s="105"/>
      <c r="D29" s="105"/>
      <c r="E29" s="105"/>
      <c r="F29" s="105"/>
      <c r="G29" s="106"/>
      <c r="H29" s="106"/>
      <c r="I29" s="106"/>
      <c r="J29" s="106"/>
      <c r="K29" s="106"/>
      <c r="L29" s="106"/>
      <c r="M29" s="106"/>
      <c r="N29" s="106"/>
      <c r="O29" s="106"/>
      <c r="P29" s="106"/>
      <c r="Q29" s="106"/>
      <c r="R29" s="106"/>
      <c r="S29" s="106"/>
      <c r="T29" s="106"/>
      <c r="U29" s="106"/>
      <c r="V29" s="106"/>
      <c r="W29" s="106"/>
      <c r="X29" s="106"/>
      <c r="Y29" s="106"/>
      <c r="Z29" s="106"/>
      <c r="AA29" s="106"/>
      <c r="AB29" s="106"/>
      <c r="AC29" s="106"/>
      <c r="AD29" s="106"/>
      <c r="AE29" s="106"/>
      <c r="AF29" s="106"/>
      <c r="AG29" s="106"/>
      <c r="AH29" s="106"/>
      <c r="AI29" s="106"/>
    </row>
    <row r="30" spans="1:35" x14ac:dyDescent="0.35">
      <c r="A30" s="79"/>
      <c r="D30" s="79"/>
      <c r="E30" s="79"/>
    </row>
    <row r="31" spans="1:35" x14ac:dyDescent="0.35">
      <c r="B31" s="74" t="s">
        <v>794</v>
      </c>
      <c r="C31" s="74" t="str">
        <f>A25</f>
        <v>Light duty truck</v>
      </c>
    </row>
    <row r="32" spans="1:35" x14ac:dyDescent="0.35">
      <c r="A32" s="74" t="s">
        <v>804</v>
      </c>
      <c r="B32" s="138">
        <f>C17</f>
        <v>22692.5</v>
      </c>
      <c r="C32" s="138">
        <f>A26</f>
        <v>29472.998707554296</v>
      </c>
    </row>
    <row r="33" spans="1:35" x14ac:dyDescent="0.35">
      <c r="A33" s="74" t="s">
        <v>791</v>
      </c>
      <c r="B33" s="104">
        <f>C19</f>
        <v>0.1</v>
      </c>
      <c r="C33" s="104">
        <f>A27</f>
        <v>0.178576323937919</v>
      </c>
      <c r="D33" s="79"/>
      <c r="E33" s="79"/>
    </row>
    <row r="34" spans="1:35" x14ac:dyDescent="0.35">
      <c r="A34" s="74" t="s">
        <v>805</v>
      </c>
      <c r="B34" s="104">
        <f>'LDV psg EV specs'!$B$93</f>
        <v>0.15</v>
      </c>
      <c r="C34" s="104">
        <f>'LDV psg EV specs'!$B$93</f>
        <v>0.15</v>
      </c>
    </row>
    <row r="36" spans="1:35" x14ac:dyDescent="0.35">
      <c r="A36" s="74" t="s">
        <v>806</v>
      </c>
      <c r="B36" s="154">
        <f>B32*(1+B33)</f>
        <v>24961.750000000004</v>
      </c>
      <c r="C36" s="154">
        <f>C32*(1+C33)</f>
        <v>34736.178472176383</v>
      </c>
    </row>
    <row r="37" spans="1:35" x14ac:dyDescent="0.35">
      <c r="B37" s="154"/>
      <c r="C37" s="154"/>
    </row>
    <row r="38" spans="1:35" x14ac:dyDescent="0.35">
      <c r="A38" s="74" t="s">
        <v>807</v>
      </c>
      <c r="B38" s="154">
        <f>B36*(1+B34)</f>
        <v>28706.012500000001</v>
      </c>
      <c r="C38" s="154">
        <f>C36*(1+C34)</f>
        <v>39946.605243002836</v>
      </c>
    </row>
    <row r="40" spans="1:35" x14ac:dyDescent="0.35">
      <c r="A40" s="105" t="s">
        <v>879</v>
      </c>
      <c r="B40" s="105"/>
      <c r="C40" s="105"/>
      <c r="D40" s="105"/>
      <c r="E40" s="105"/>
      <c r="F40" s="106"/>
      <c r="G40" s="106"/>
      <c r="H40" s="106"/>
      <c r="I40" s="106"/>
      <c r="J40" s="106"/>
      <c r="K40" s="106"/>
      <c r="L40" s="106"/>
      <c r="M40" s="106"/>
      <c r="N40" s="106"/>
      <c r="O40" s="106"/>
      <c r="P40" s="106"/>
      <c r="Q40" s="106"/>
      <c r="R40" s="106"/>
      <c r="S40" s="106"/>
      <c r="T40" s="106"/>
      <c r="U40" s="106"/>
      <c r="V40" s="106"/>
      <c r="W40" s="106"/>
      <c r="X40" s="106"/>
      <c r="Y40" s="106"/>
      <c r="Z40" s="106"/>
      <c r="AA40" s="106"/>
      <c r="AB40" s="106"/>
      <c r="AC40" s="106"/>
      <c r="AD40" s="106"/>
      <c r="AE40" s="106"/>
      <c r="AF40" s="106"/>
      <c r="AG40" s="106"/>
      <c r="AH40" s="106"/>
      <c r="AI40" s="106"/>
    </row>
    <row r="41" spans="1:35" x14ac:dyDescent="0.35">
      <c r="A41" s="1"/>
    </row>
    <row r="42" spans="1:35" x14ac:dyDescent="0.35">
      <c r="A42" s="74" t="s">
        <v>808</v>
      </c>
    </row>
    <row r="43" spans="1:35" x14ac:dyDescent="0.35">
      <c r="A43" s="74" t="s">
        <v>809</v>
      </c>
    </row>
    <row r="44" spans="1:35" x14ac:dyDescent="0.35">
      <c r="A44" s="76">
        <v>43117</v>
      </c>
      <c r="C44" s="14"/>
    </row>
    <row r="45" spans="1:35" x14ac:dyDescent="0.35">
      <c r="A45" s="13" t="s">
        <v>810</v>
      </c>
      <c r="E45" s="4"/>
    </row>
    <row r="47" spans="1:35" x14ac:dyDescent="0.35">
      <c r="B47" s="85"/>
      <c r="C47" s="85"/>
      <c r="D47" s="85"/>
      <c r="E47" s="85"/>
    </row>
    <row r="50" spans="1:7" x14ac:dyDescent="0.35">
      <c r="D50" s="21"/>
      <c r="E50" s="21"/>
      <c r="F50" s="86"/>
    </row>
    <row r="53" spans="1:7" x14ac:dyDescent="0.35">
      <c r="C53" s="69"/>
      <c r="F53" s="68"/>
    </row>
    <row r="54" spans="1:7" x14ac:dyDescent="0.35">
      <c r="F54" s="21"/>
      <c r="G54" s="81"/>
    </row>
    <row r="57" spans="1:7" x14ac:dyDescent="0.35">
      <c r="A57" s="79"/>
      <c r="D57" s="79"/>
      <c r="E57" s="79"/>
    </row>
    <row r="58" spans="1:7" x14ac:dyDescent="0.35">
      <c r="A58" s="74" t="s">
        <v>811</v>
      </c>
    </row>
    <row r="59" spans="1:7" x14ac:dyDescent="0.35">
      <c r="A59" s="74" t="s">
        <v>812</v>
      </c>
      <c r="B59" s="69"/>
      <c r="C59" s="74">
        <v>875</v>
      </c>
    </row>
    <row r="60" spans="1:7" x14ac:dyDescent="0.35">
      <c r="A60" s="74" t="s">
        <v>813</v>
      </c>
      <c r="C60" s="74">
        <f>C59/7</f>
        <v>125</v>
      </c>
      <c r="D60" s="79"/>
      <c r="E60" s="79"/>
    </row>
    <row r="61" spans="1:7" x14ac:dyDescent="0.35">
      <c r="C61" s="21"/>
    </row>
    <row r="62" spans="1:7" x14ac:dyDescent="0.35">
      <c r="A62" s="105" t="s">
        <v>893</v>
      </c>
      <c r="B62" s="106"/>
      <c r="C62" s="106"/>
    </row>
    <row r="63" spans="1:7" x14ac:dyDescent="0.35">
      <c r="A63" s="1" t="s">
        <v>891</v>
      </c>
    </row>
    <row r="64" spans="1:7" x14ac:dyDescent="0.35">
      <c r="A64" s="74" t="s">
        <v>888</v>
      </c>
    </row>
    <row r="65" spans="1:15" x14ac:dyDescent="0.35">
      <c r="A65" s="121" t="s">
        <v>889</v>
      </c>
      <c r="B65" s="104">
        <v>0.41</v>
      </c>
    </row>
    <row r="66" spans="1:15" x14ac:dyDescent="0.35">
      <c r="A66" s="121" t="s">
        <v>890</v>
      </c>
      <c r="B66" s="104">
        <v>0.26</v>
      </c>
    </row>
    <row r="67" spans="1:15" x14ac:dyDescent="0.35">
      <c r="A67" s="121" t="s">
        <v>782</v>
      </c>
      <c r="B67" s="104">
        <v>0.22</v>
      </c>
    </row>
    <row r="68" spans="1:15" x14ac:dyDescent="0.35">
      <c r="A68" s="121" t="s">
        <v>892</v>
      </c>
      <c r="B68" s="104">
        <v>0.11</v>
      </c>
    </row>
    <row r="69" spans="1:15" x14ac:dyDescent="0.35">
      <c r="A69" s="122" t="s">
        <v>877</v>
      </c>
      <c r="B69" s="123">
        <f>SUM(B65:B68)</f>
        <v>0.99999999999999989</v>
      </c>
    </row>
    <row r="70" spans="1:15" x14ac:dyDescent="0.35">
      <c r="A70" s="126"/>
      <c r="B70" s="127"/>
      <c r="D70" s="70"/>
      <c r="E70" s="70"/>
      <c r="F70" s="70"/>
      <c r="G70" s="70"/>
      <c r="H70" s="70"/>
      <c r="I70" s="70"/>
      <c r="J70" s="70"/>
      <c r="K70" s="70"/>
      <c r="L70" s="70"/>
      <c r="M70" s="70"/>
      <c r="N70" s="70"/>
      <c r="O70" s="70"/>
    </row>
    <row r="71" spans="1:15" x14ac:dyDescent="0.35">
      <c r="A71" s="17" t="s">
        <v>894</v>
      </c>
      <c r="B71" s="127"/>
      <c r="D71" s="70"/>
      <c r="E71" s="70"/>
      <c r="F71" s="70"/>
      <c r="G71" s="70"/>
      <c r="H71" s="70"/>
      <c r="I71" s="70"/>
      <c r="J71" s="70"/>
      <c r="K71" s="70"/>
      <c r="L71" s="70"/>
      <c r="M71" s="70"/>
      <c r="N71" s="70"/>
      <c r="O71" s="70"/>
    </row>
    <row r="73" spans="1:15" x14ac:dyDescent="0.35">
      <c r="A73" s="1" t="s">
        <v>1209</v>
      </c>
    </row>
    <row r="75" spans="1:15" x14ac:dyDescent="0.35">
      <c r="A75" s="1" t="s">
        <v>889</v>
      </c>
    </row>
    <row r="76" spans="1:15" x14ac:dyDescent="0.35">
      <c r="A76" s="121" t="s">
        <v>838</v>
      </c>
      <c r="B76" s="102">
        <f>B65/SUM($B$65:$B$66)</f>
        <v>0.61194029850746268</v>
      </c>
    </row>
    <row r="77" spans="1:15" x14ac:dyDescent="0.35">
      <c r="A77" s="121" t="s">
        <v>839</v>
      </c>
      <c r="B77" s="102">
        <f>B66/SUM($B$65:$B$66)</f>
        <v>0.38805970149253738</v>
      </c>
    </row>
    <row r="79" spans="1:15" x14ac:dyDescent="0.35">
      <c r="A79" s="1" t="s">
        <v>897</v>
      </c>
    </row>
    <row r="80" spans="1:15" x14ac:dyDescent="0.35">
      <c r="A80" s="121" t="s">
        <v>895</v>
      </c>
      <c r="B80" s="102">
        <f>'LDV sales'!B80</f>
        <v>0.28576323937919007</v>
      </c>
    </row>
    <row r="81" spans="1:7" x14ac:dyDescent="0.35">
      <c r="A81" s="121" t="s">
        <v>896</v>
      </c>
      <c r="B81" s="102">
        <f>'LDV sales'!B81</f>
        <v>0.71423676062080999</v>
      </c>
    </row>
    <row r="82" spans="1:7" x14ac:dyDescent="0.35">
      <c r="A82" s="121"/>
      <c r="B82" s="102"/>
    </row>
    <row r="83" spans="1:7" x14ac:dyDescent="0.35">
      <c r="A83" s="164" t="s">
        <v>1212</v>
      </c>
      <c r="B83" s="165"/>
      <c r="C83" s="72"/>
      <c r="D83" s="72"/>
      <c r="E83" s="72"/>
      <c r="F83" s="72"/>
      <c r="G83" s="72"/>
    </row>
    <row r="84" spans="1:7" x14ac:dyDescent="0.35">
      <c r="A84" s="74" t="s">
        <v>846</v>
      </c>
      <c r="B84" s="128">
        <f>E204</f>
        <v>1.1680937359170798</v>
      </c>
      <c r="C84" s="74" t="s">
        <v>1217</v>
      </c>
    </row>
    <row r="85" spans="1:7" x14ac:dyDescent="0.35">
      <c r="A85" s="109" t="s">
        <v>837</v>
      </c>
      <c r="B85" s="162">
        <f>B94</f>
        <v>1.4542372881355932</v>
      </c>
      <c r="C85" s="109" t="s">
        <v>845</v>
      </c>
      <c r="D85" s="109"/>
    </row>
    <row r="86" spans="1:7" x14ac:dyDescent="0.35">
      <c r="A86" s="109"/>
      <c r="B86" s="162"/>
      <c r="C86" s="109"/>
      <c r="D86" s="109"/>
    </row>
    <row r="87" spans="1:7" x14ac:dyDescent="0.35">
      <c r="A87" s="109" t="s">
        <v>1213</v>
      </c>
      <c r="B87" s="109"/>
      <c r="C87" s="109"/>
      <c r="D87" s="109"/>
    </row>
    <row r="88" spans="1:7" x14ac:dyDescent="0.35">
      <c r="A88" s="109" t="s">
        <v>884</v>
      </c>
      <c r="B88" s="109"/>
      <c r="C88" s="109"/>
      <c r="D88" s="109"/>
      <c r="E88" s="114"/>
      <c r="F88" s="114"/>
      <c r="G88" s="114"/>
    </row>
    <row r="89" spans="1:7" x14ac:dyDescent="0.35">
      <c r="A89" s="109" t="s">
        <v>885</v>
      </c>
      <c r="B89" s="109"/>
      <c r="C89" s="109"/>
      <c r="D89" s="109"/>
    </row>
    <row r="90" spans="1:7" x14ac:dyDescent="0.35">
      <c r="A90" s="109"/>
      <c r="B90" s="109"/>
      <c r="C90" s="109"/>
      <c r="D90" s="109"/>
    </row>
    <row r="91" spans="1:7" x14ac:dyDescent="0.35">
      <c r="A91" s="163" t="s">
        <v>837</v>
      </c>
      <c r="B91" s="109"/>
      <c r="C91" s="109"/>
      <c r="D91" s="109"/>
    </row>
    <row r="92" spans="1:7" x14ac:dyDescent="0.35">
      <c r="A92" s="109" t="s">
        <v>788</v>
      </c>
      <c r="B92" s="109">
        <v>4.29</v>
      </c>
      <c r="C92" s="109"/>
      <c r="D92" s="109"/>
    </row>
    <row r="93" spans="1:7" x14ac:dyDescent="0.35">
      <c r="A93" s="109" t="s">
        <v>787</v>
      </c>
      <c r="B93" s="109">
        <v>2.95</v>
      </c>
      <c r="C93" s="109"/>
      <c r="D93" s="109"/>
    </row>
    <row r="94" spans="1:7" x14ac:dyDescent="0.35">
      <c r="A94" s="109" t="s">
        <v>837</v>
      </c>
      <c r="B94" s="162">
        <f>B92/B93</f>
        <v>1.4542372881355932</v>
      </c>
      <c r="C94" s="109" t="s">
        <v>845</v>
      </c>
      <c r="D94" s="109"/>
    </row>
    <row r="149" spans="1:10" ht="15" thickBot="1" x14ac:dyDescent="0.4"/>
    <row r="150" spans="1:10" x14ac:dyDescent="0.35">
      <c r="A150" s="181" t="s">
        <v>818</v>
      </c>
      <c r="B150" s="182"/>
      <c r="C150" s="182"/>
      <c r="D150" s="183"/>
    </row>
    <row r="151" spans="1:10" ht="15" thickBot="1" x14ac:dyDescent="0.4">
      <c r="A151" s="184"/>
      <c r="B151" s="185"/>
      <c r="C151" s="185"/>
      <c r="D151" s="186"/>
      <c r="H151" s="87"/>
      <c r="I151" s="87"/>
      <c r="J151" s="87"/>
    </row>
    <row r="152" spans="1:10" ht="15" thickBot="1" x14ac:dyDescent="0.4">
      <c r="A152" s="187"/>
      <c r="B152" s="188"/>
      <c r="C152" s="188"/>
      <c r="D152" s="189"/>
      <c r="H152" s="181" t="s">
        <v>819</v>
      </c>
      <c r="I152" s="182"/>
      <c r="J152" s="183"/>
    </row>
    <row r="153" spans="1:10" ht="15" thickBot="1" x14ac:dyDescent="0.4">
      <c r="H153" s="187"/>
      <c r="I153" s="188"/>
      <c r="J153" s="189"/>
    </row>
    <row r="154" spans="1:10" x14ac:dyDescent="0.35">
      <c r="A154" s="190" t="s">
        <v>820</v>
      </c>
      <c r="B154" s="190"/>
      <c r="C154" s="190"/>
      <c r="D154" s="190"/>
    </row>
    <row r="155" spans="1:10" x14ac:dyDescent="0.35">
      <c r="A155" s="190" t="s">
        <v>821</v>
      </c>
      <c r="B155" s="190"/>
      <c r="C155" s="190"/>
      <c r="D155" s="190"/>
      <c r="H155" s="190" t="s">
        <v>822</v>
      </c>
      <c r="I155" s="190"/>
      <c r="J155" s="190"/>
    </row>
    <row r="156" spans="1:10" x14ac:dyDescent="0.35">
      <c r="A156" s="179" t="s">
        <v>823</v>
      </c>
      <c r="B156" s="179"/>
      <c r="C156" s="179"/>
      <c r="D156" s="179"/>
      <c r="H156" s="180" t="s">
        <v>824</v>
      </c>
      <c r="I156" s="180"/>
      <c r="J156" s="180"/>
    </row>
    <row r="157" spans="1:10" x14ac:dyDescent="0.35">
      <c r="A157" s="190" t="s">
        <v>825</v>
      </c>
      <c r="B157" s="190"/>
      <c r="C157" s="190"/>
      <c r="D157" s="190"/>
      <c r="H157" s="190" t="s">
        <v>825</v>
      </c>
      <c r="I157" s="190"/>
      <c r="J157" s="190"/>
    </row>
    <row r="158" spans="1:10" x14ac:dyDescent="0.35">
      <c r="A158" s="190" t="s">
        <v>826</v>
      </c>
      <c r="B158" s="190"/>
      <c r="C158" s="190"/>
      <c r="D158" s="190"/>
      <c r="E158" s="1" t="s">
        <v>827</v>
      </c>
      <c r="H158" s="190" t="s">
        <v>826</v>
      </c>
      <c r="I158" s="190"/>
      <c r="J158" s="190"/>
    </row>
    <row r="159" spans="1:10" ht="15" thickBot="1" x14ac:dyDescent="0.4">
      <c r="A159" s="88"/>
      <c r="B159" s="88"/>
      <c r="C159" s="88"/>
      <c r="D159" s="88"/>
      <c r="H159" s="88"/>
      <c r="I159" s="88"/>
      <c r="J159" s="88"/>
    </row>
    <row r="160" spans="1:10" ht="26" x14ac:dyDescent="0.35">
      <c r="A160" s="89" t="s">
        <v>741</v>
      </c>
      <c r="B160" s="89" t="s">
        <v>788</v>
      </c>
      <c r="C160" s="89" t="s">
        <v>828</v>
      </c>
      <c r="D160" s="89" t="s">
        <v>787</v>
      </c>
      <c r="E160" s="120" t="s">
        <v>886</v>
      </c>
      <c r="H160" s="89" t="s">
        <v>741</v>
      </c>
      <c r="I160" s="89" t="s">
        <v>794</v>
      </c>
      <c r="J160" s="89" t="s">
        <v>829</v>
      </c>
    </row>
    <row r="161" spans="1:10" x14ac:dyDescent="0.35">
      <c r="A161" s="90">
        <v>1975</v>
      </c>
      <c r="B161" s="91">
        <v>4012</v>
      </c>
      <c r="C161" s="91">
        <v>4196</v>
      </c>
      <c r="D161" s="91">
        <v>4214</v>
      </c>
      <c r="E161" s="80">
        <f>B161/D161</f>
        <v>0.95206454674893215</v>
      </c>
      <c r="H161" s="90">
        <v>1975</v>
      </c>
      <c r="I161" s="91">
        <v>4058</v>
      </c>
      <c r="J161" s="91">
        <v>4000</v>
      </c>
    </row>
    <row r="162" spans="1:10" x14ac:dyDescent="0.35">
      <c r="A162" s="90">
        <v>1976</v>
      </c>
      <c r="B162" s="91">
        <v>4122</v>
      </c>
      <c r="C162" s="91">
        <v>4200</v>
      </c>
      <c r="D162" s="91">
        <v>4328</v>
      </c>
      <c r="E162" s="80">
        <f>B162/D162</f>
        <v>0.95240295748613679</v>
      </c>
      <c r="H162" s="90">
        <v>1976</v>
      </c>
      <c r="I162" s="91">
        <v>4059</v>
      </c>
      <c r="J162" s="91">
        <v>3986</v>
      </c>
    </row>
    <row r="163" spans="1:10" x14ac:dyDescent="0.35">
      <c r="A163" s="90">
        <v>1977</v>
      </c>
      <c r="B163" s="91">
        <v>4092</v>
      </c>
      <c r="C163" s="91">
        <v>4252</v>
      </c>
      <c r="D163" s="91">
        <v>4248</v>
      </c>
      <c r="E163" s="80">
        <f t="shared" ref="E163:E204" si="8">B163/D163</f>
        <v>0.96327683615819204</v>
      </c>
      <c r="H163" s="90">
        <v>1977</v>
      </c>
      <c r="I163" s="91">
        <v>3944</v>
      </c>
      <c r="J163" s="91">
        <v>4000</v>
      </c>
    </row>
    <row r="164" spans="1:10" x14ac:dyDescent="0.35">
      <c r="A164" s="90">
        <v>1978</v>
      </c>
      <c r="B164" s="91">
        <v>4104</v>
      </c>
      <c r="C164" s="91">
        <v>4250</v>
      </c>
      <c r="D164" s="91">
        <v>4282</v>
      </c>
      <c r="E164" s="80">
        <f t="shared" si="8"/>
        <v>0.95843063988790289</v>
      </c>
      <c r="H164" s="90">
        <v>1978</v>
      </c>
      <c r="I164" s="91">
        <v>3588</v>
      </c>
      <c r="J164" s="91">
        <v>4000</v>
      </c>
    </row>
    <row r="165" spans="1:10" x14ac:dyDescent="0.35">
      <c r="A165" s="90">
        <v>1979</v>
      </c>
      <c r="B165" s="91">
        <v>4142</v>
      </c>
      <c r="C165" s="91">
        <v>4541</v>
      </c>
      <c r="D165" s="91">
        <v>4561</v>
      </c>
      <c r="E165" s="80">
        <f t="shared" si="8"/>
        <v>0.90813418110063582</v>
      </c>
      <c r="H165" s="90">
        <v>1979</v>
      </c>
      <c r="I165" s="91">
        <v>3485</v>
      </c>
      <c r="J165" s="91">
        <v>3271</v>
      </c>
    </row>
    <row r="166" spans="1:10" x14ac:dyDescent="0.35">
      <c r="A166" s="90">
        <v>1980</v>
      </c>
      <c r="B166" s="91">
        <v>3740</v>
      </c>
      <c r="C166" s="91">
        <v>4353</v>
      </c>
      <c r="D166" s="91">
        <v>4237</v>
      </c>
      <c r="E166" s="80">
        <f t="shared" si="8"/>
        <v>0.88270002360160493</v>
      </c>
      <c r="H166" s="90">
        <v>1980</v>
      </c>
      <c r="I166" s="91">
        <v>3101</v>
      </c>
      <c r="J166" s="91">
        <v>4000</v>
      </c>
    </row>
    <row r="167" spans="1:10" x14ac:dyDescent="0.35">
      <c r="A167" s="90">
        <v>1981</v>
      </c>
      <c r="B167" s="91">
        <v>3679</v>
      </c>
      <c r="C167" s="91">
        <v>4324</v>
      </c>
      <c r="D167" s="91">
        <v>4208</v>
      </c>
      <c r="E167" s="80">
        <f t="shared" si="8"/>
        <v>0.87428707224334601</v>
      </c>
      <c r="H167" s="90">
        <v>1981</v>
      </c>
      <c r="I167" s="91">
        <v>3076</v>
      </c>
      <c r="J167" s="91">
        <v>4000</v>
      </c>
    </row>
    <row r="168" spans="1:10" x14ac:dyDescent="0.35">
      <c r="A168" s="90">
        <v>1982</v>
      </c>
      <c r="B168" s="91">
        <v>3629</v>
      </c>
      <c r="C168" s="91">
        <v>4342</v>
      </c>
      <c r="D168" s="91">
        <v>4494</v>
      </c>
      <c r="E168" s="80">
        <f t="shared" si="8"/>
        <v>0.80752113929684022</v>
      </c>
      <c r="H168" s="90">
        <v>1982</v>
      </c>
      <c r="I168" s="91">
        <v>3054</v>
      </c>
      <c r="J168" s="91">
        <v>2630</v>
      </c>
    </row>
    <row r="169" spans="1:10" x14ac:dyDescent="0.35">
      <c r="A169" s="90">
        <v>1983</v>
      </c>
      <c r="B169" s="91">
        <v>3544</v>
      </c>
      <c r="C169" s="91">
        <v>4414</v>
      </c>
      <c r="D169" s="91">
        <v>4270</v>
      </c>
      <c r="E169" s="80">
        <f t="shared" si="8"/>
        <v>0.82997658079625292</v>
      </c>
      <c r="H169" s="90">
        <v>1983</v>
      </c>
      <c r="I169" s="91">
        <v>3112</v>
      </c>
      <c r="J169" s="91">
        <v>3124</v>
      </c>
    </row>
    <row r="170" spans="1:10" x14ac:dyDescent="0.35">
      <c r="A170" s="90">
        <v>1984</v>
      </c>
      <c r="B170" s="91">
        <v>3619</v>
      </c>
      <c r="C170" s="91">
        <v>4075</v>
      </c>
      <c r="D170" s="91">
        <v>4049</v>
      </c>
      <c r="E170" s="80">
        <f t="shared" si="8"/>
        <v>0.8938009385033342</v>
      </c>
      <c r="H170" s="90">
        <v>1984</v>
      </c>
      <c r="I170" s="91">
        <v>3099</v>
      </c>
      <c r="J170" s="91">
        <v>3487</v>
      </c>
    </row>
    <row r="171" spans="1:10" x14ac:dyDescent="0.35">
      <c r="A171" s="90">
        <v>1985</v>
      </c>
      <c r="B171" s="91">
        <v>3642</v>
      </c>
      <c r="C171" s="91">
        <v>3975</v>
      </c>
      <c r="D171" s="91">
        <v>4092</v>
      </c>
      <c r="E171" s="80">
        <f t="shared" si="8"/>
        <v>0.89002932551319647</v>
      </c>
      <c r="H171" s="90">
        <v>1985</v>
      </c>
      <c r="I171" s="91">
        <v>3093</v>
      </c>
      <c r="J171" s="91">
        <v>3469</v>
      </c>
    </row>
    <row r="172" spans="1:10" x14ac:dyDescent="0.35">
      <c r="A172" s="90">
        <v>1986</v>
      </c>
      <c r="B172" s="91">
        <v>3574</v>
      </c>
      <c r="C172" s="91">
        <v>3998</v>
      </c>
      <c r="D172" s="91">
        <v>3958</v>
      </c>
      <c r="E172" s="80">
        <f t="shared" si="8"/>
        <v>0.90298130368873164</v>
      </c>
      <c r="H172" s="90">
        <v>1986</v>
      </c>
      <c r="I172" s="91">
        <v>3041</v>
      </c>
      <c r="J172" s="91">
        <v>3479</v>
      </c>
    </row>
    <row r="173" spans="1:10" x14ac:dyDescent="0.35">
      <c r="A173" s="90">
        <v>1987</v>
      </c>
      <c r="B173" s="91">
        <v>3526</v>
      </c>
      <c r="C173" s="91">
        <v>3972</v>
      </c>
      <c r="D173" s="91">
        <v>3882</v>
      </c>
      <c r="E173" s="80">
        <f t="shared" si="8"/>
        <v>0.90829469345698088</v>
      </c>
      <c r="H173" s="90">
        <v>1987</v>
      </c>
      <c r="I173" s="91">
        <v>3031</v>
      </c>
      <c r="J173" s="91">
        <v>3492</v>
      </c>
    </row>
    <row r="174" spans="1:10" x14ac:dyDescent="0.35">
      <c r="A174" s="90">
        <v>1988</v>
      </c>
      <c r="B174" s="91">
        <v>3737</v>
      </c>
      <c r="C174" s="91">
        <v>4053</v>
      </c>
      <c r="D174" s="91">
        <v>3906</v>
      </c>
      <c r="E174" s="80">
        <f t="shared" si="8"/>
        <v>0.95673323092677931</v>
      </c>
      <c r="H174" s="90">
        <v>1988</v>
      </c>
      <c r="I174" s="91">
        <v>3047</v>
      </c>
      <c r="J174" s="91">
        <v>3495</v>
      </c>
    </row>
    <row r="175" spans="1:10" x14ac:dyDescent="0.35">
      <c r="A175" s="90">
        <v>1989</v>
      </c>
      <c r="B175" s="91">
        <v>3803</v>
      </c>
      <c r="C175" s="91">
        <v>4057</v>
      </c>
      <c r="D175" s="91">
        <v>4086</v>
      </c>
      <c r="E175" s="80">
        <f t="shared" si="8"/>
        <v>0.93073910915320612</v>
      </c>
      <c r="H175" s="90">
        <v>1989</v>
      </c>
      <c r="I175" s="91">
        <v>3099</v>
      </c>
      <c r="J175" s="91">
        <v>3497</v>
      </c>
    </row>
    <row r="176" spans="1:10" x14ac:dyDescent="0.35">
      <c r="A176" s="90">
        <v>1990</v>
      </c>
      <c r="B176" s="91">
        <v>3928</v>
      </c>
      <c r="C176" s="91">
        <v>4095</v>
      </c>
      <c r="D176" s="91">
        <v>4098</v>
      </c>
      <c r="E176" s="80">
        <f t="shared" si="8"/>
        <v>0.95851634943875064</v>
      </c>
      <c r="H176" s="90">
        <v>1990</v>
      </c>
      <c r="I176" s="91">
        <v>3176</v>
      </c>
      <c r="J176" s="91">
        <v>3518</v>
      </c>
    </row>
    <row r="177" spans="1:10" x14ac:dyDescent="0.35">
      <c r="A177" s="90">
        <v>1991</v>
      </c>
      <c r="B177" s="91">
        <v>3779</v>
      </c>
      <c r="C177" s="91">
        <v>4133</v>
      </c>
      <c r="D177" s="91">
        <v>4157</v>
      </c>
      <c r="E177" s="80">
        <f t="shared" si="8"/>
        <v>0.90906904017320178</v>
      </c>
      <c r="H177" s="90">
        <v>1991</v>
      </c>
      <c r="I177" s="91">
        <v>3154</v>
      </c>
      <c r="J177" s="91">
        <v>3733</v>
      </c>
    </row>
    <row r="178" spans="1:10" x14ac:dyDescent="0.35">
      <c r="A178" s="90">
        <v>1992</v>
      </c>
      <c r="B178" s="91">
        <v>3976</v>
      </c>
      <c r="C178" s="91">
        <v>4151</v>
      </c>
      <c r="D178" s="91">
        <v>4204</v>
      </c>
      <c r="E178" s="80">
        <f t="shared" si="8"/>
        <v>0.94576593720266411</v>
      </c>
      <c r="H178" s="90">
        <v>1992</v>
      </c>
      <c r="I178" s="91">
        <v>3240</v>
      </c>
      <c r="J178" s="91">
        <v>3713</v>
      </c>
    </row>
    <row r="179" spans="1:10" x14ac:dyDescent="0.35">
      <c r="A179" s="90">
        <v>1993</v>
      </c>
      <c r="B179" s="91">
        <v>3996</v>
      </c>
      <c r="C179" s="91">
        <v>4105</v>
      </c>
      <c r="D179" s="91">
        <v>4331</v>
      </c>
      <c r="E179" s="80">
        <f t="shared" si="8"/>
        <v>0.92265065804664048</v>
      </c>
      <c r="H179" s="90">
        <v>1993</v>
      </c>
      <c r="I179" s="91">
        <v>3207</v>
      </c>
      <c r="J179" s="91">
        <v>3848</v>
      </c>
    </row>
    <row r="180" spans="1:10" x14ac:dyDescent="0.35">
      <c r="A180" s="90">
        <v>1994</v>
      </c>
      <c r="B180" s="91">
        <v>4056</v>
      </c>
      <c r="C180" s="91">
        <v>4156</v>
      </c>
      <c r="D180" s="91">
        <v>4331</v>
      </c>
      <c r="E180" s="80">
        <f t="shared" si="8"/>
        <v>0.93650427153082427</v>
      </c>
      <c r="H180" s="90">
        <v>1994</v>
      </c>
      <c r="I180" s="91">
        <v>3250</v>
      </c>
      <c r="J180" s="91">
        <v>3735</v>
      </c>
    </row>
    <row r="181" spans="1:10" x14ac:dyDescent="0.35">
      <c r="A181" s="90">
        <v>1995</v>
      </c>
      <c r="B181" s="91">
        <v>4182</v>
      </c>
      <c r="C181" s="91">
        <v>4110</v>
      </c>
      <c r="D181" s="91">
        <v>4323</v>
      </c>
      <c r="E181" s="80">
        <f t="shared" si="8"/>
        <v>0.96738376127689107</v>
      </c>
      <c r="H181" s="90">
        <v>1995</v>
      </c>
      <c r="I181" s="91">
        <v>3263</v>
      </c>
      <c r="J181" s="91">
        <v>3763</v>
      </c>
    </row>
    <row r="182" spans="1:10" x14ac:dyDescent="0.35">
      <c r="A182" s="90">
        <v>1996</v>
      </c>
      <c r="B182" s="91">
        <v>4190</v>
      </c>
      <c r="C182" s="91">
        <v>4195</v>
      </c>
      <c r="D182" s="91">
        <v>4386</v>
      </c>
      <c r="E182" s="80">
        <f t="shared" si="8"/>
        <v>0.95531235750113996</v>
      </c>
      <c r="H182" s="90">
        <v>1996</v>
      </c>
      <c r="I182" s="91">
        <v>3282</v>
      </c>
      <c r="J182" s="91">
        <v>3710</v>
      </c>
    </row>
    <row r="183" spans="1:10" x14ac:dyDescent="0.35">
      <c r="A183" s="90">
        <v>1997</v>
      </c>
      <c r="B183" s="91">
        <v>4415</v>
      </c>
      <c r="C183" s="91">
        <v>4240</v>
      </c>
      <c r="D183" s="91">
        <v>4463</v>
      </c>
      <c r="E183" s="80">
        <f t="shared" si="8"/>
        <v>0.9892449025319292</v>
      </c>
      <c r="H183" s="90">
        <v>1997</v>
      </c>
      <c r="I183" s="91">
        <v>3274</v>
      </c>
      <c r="J183" s="91">
        <v>3549</v>
      </c>
    </row>
    <row r="184" spans="1:10" x14ac:dyDescent="0.35">
      <c r="A184" s="90">
        <v>1998</v>
      </c>
      <c r="B184" s="91">
        <v>4282</v>
      </c>
      <c r="C184" s="91">
        <v>4183</v>
      </c>
      <c r="D184" s="91">
        <v>4450</v>
      </c>
      <c r="E184" s="80">
        <f t="shared" si="8"/>
        <v>0.9622471910112359</v>
      </c>
      <c r="H184" s="90">
        <v>1998</v>
      </c>
      <c r="I184" s="91">
        <v>3306</v>
      </c>
      <c r="J184" s="91">
        <v>3824</v>
      </c>
    </row>
    <row r="185" spans="1:10" x14ac:dyDescent="0.35">
      <c r="A185" s="90">
        <v>1999</v>
      </c>
      <c r="B185" s="91">
        <v>4486</v>
      </c>
      <c r="C185" s="91">
        <v>4306</v>
      </c>
      <c r="D185" s="91">
        <v>4518</v>
      </c>
      <c r="E185" s="80">
        <f t="shared" si="8"/>
        <v>0.99291722000885352</v>
      </c>
      <c r="H185" s="90">
        <v>1999</v>
      </c>
      <c r="I185" s="91">
        <v>3365</v>
      </c>
      <c r="J185" s="91">
        <v>3831</v>
      </c>
    </row>
    <row r="186" spans="1:10" x14ac:dyDescent="0.35">
      <c r="A186" s="90">
        <v>2000</v>
      </c>
      <c r="B186" s="91">
        <v>4340</v>
      </c>
      <c r="C186" s="91">
        <v>4276</v>
      </c>
      <c r="D186" s="91">
        <v>4602</v>
      </c>
      <c r="E186" s="80">
        <f t="shared" si="8"/>
        <v>0.94306823120382444</v>
      </c>
      <c r="H186" s="90">
        <v>2000</v>
      </c>
      <c r="I186" s="91">
        <v>3369</v>
      </c>
      <c r="J186" s="91">
        <v>3870</v>
      </c>
    </row>
    <row r="187" spans="1:10" x14ac:dyDescent="0.35">
      <c r="A187" s="90">
        <v>2001</v>
      </c>
      <c r="B187" s="91">
        <v>4551</v>
      </c>
      <c r="C187" s="91">
        <v>4518</v>
      </c>
      <c r="D187" s="91">
        <v>4546</v>
      </c>
      <c r="E187" s="80">
        <f t="shared" si="8"/>
        <v>1.0010998680158381</v>
      </c>
      <c r="H187" s="90">
        <v>2001</v>
      </c>
      <c r="I187" s="91">
        <v>3380</v>
      </c>
      <c r="J187" s="91">
        <v>3765</v>
      </c>
    </row>
    <row r="188" spans="1:10" x14ac:dyDescent="0.35">
      <c r="A188" s="90">
        <v>2002</v>
      </c>
      <c r="B188" s="91">
        <v>4690</v>
      </c>
      <c r="C188" s="91">
        <v>4394</v>
      </c>
      <c r="D188" s="91">
        <v>4636</v>
      </c>
      <c r="E188" s="80">
        <f t="shared" si="8"/>
        <v>1.0116479723899914</v>
      </c>
      <c r="H188" s="90">
        <v>2002</v>
      </c>
      <c r="I188" s="91">
        <v>3391</v>
      </c>
      <c r="J188" s="91">
        <v>3747</v>
      </c>
    </row>
    <row r="189" spans="1:10" x14ac:dyDescent="0.35">
      <c r="A189" s="90">
        <v>2003</v>
      </c>
      <c r="B189" s="91">
        <v>4642</v>
      </c>
      <c r="C189" s="91">
        <v>4393</v>
      </c>
      <c r="D189" s="91">
        <v>4754</v>
      </c>
      <c r="E189" s="80">
        <f t="shared" si="8"/>
        <v>0.97644089188052163</v>
      </c>
      <c r="H189" s="90">
        <v>2003</v>
      </c>
      <c r="I189" s="91">
        <v>3417</v>
      </c>
      <c r="J189" s="91">
        <v>3716</v>
      </c>
    </row>
    <row r="190" spans="1:10" x14ac:dyDescent="0.35">
      <c r="A190" s="90">
        <v>2004</v>
      </c>
      <c r="B190" s="91">
        <v>4939</v>
      </c>
      <c r="C190" s="91">
        <v>4487</v>
      </c>
      <c r="D190" s="91">
        <v>4756</v>
      </c>
      <c r="E190" s="80">
        <f t="shared" si="8"/>
        <v>1.0384777123633306</v>
      </c>
      <c r="H190" s="90">
        <v>2004</v>
      </c>
      <c r="I190" s="91">
        <v>3462</v>
      </c>
      <c r="J190" s="91">
        <v>3854</v>
      </c>
    </row>
    <row r="191" spans="1:10" x14ac:dyDescent="0.35">
      <c r="A191" s="90">
        <v>2005</v>
      </c>
      <c r="B191" s="91">
        <v>4988</v>
      </c>
      <c r="C191" s="91">
        <v>4430</v>
      </c>
      <c r="D191" s="91">
        <v>4756</v>
      </c>
      <c r="E191" s="80">
        <f t="shared" si="8"/>
        <v>1.0487804878048781</v>
      </c>
      <c r="H191" s="90">
        <v>2005</v>
      </c>
      <c r="I191" s="91">
        <v>3463</v>
      </c>
      <c r="J191" s="91">
        <v>3848</v>
      </c>
    </row>
    <row r="192" spans="1:10" x14ac:dyDescent="0.35">
      <c r="A192" s="90">
        <v>2006</v>
      </c>
      <c r="B192" s="91">
        <v>4968</v>
      </c>
      <c r="C192" s="91">
        <v>4475</v>
      </c>
      <c r="D192" s="91">
        <v>4715</v>
      </c>
      <c r="E192" s="80">
        <f t="shared" si="8"/>
        <v>1.0536585365853659</v>
      </c>
      <c r="H192" s="90">
        <v>2006</v>
      </c>
      <c r="I192" s="91">
        <v>3534</v>
      </c>
      <c r="J192" s="91">
        <v>3876</v>
      </c>
    </row>
    <row r="193" spans="1:10" x14ac:dyDescent="0.35">
      <c r="A193" s="90">
        <v>2007</v>
      </c>
      <c r="B193" s="91">
        <v>5144</v>
      </c>
      <c r="C193" s="91">
        <v>4479</v>
      </c>
      <c r="D193" s="91">
        <v>4797</v>
      </c>
      <c r="E193" s="80">
        <f t="shared" si="8"/>
        <v>1.072336877214926</v>
      </c>
      <c r="H193" s="90">
        <v>2007</v>
      </c>
      <c r="I193" s="91">
        <v>3507</v>
      </c>
      <c r="J193" s="91">
        <v>3935</v>
      </c>
    </row>
    <row r="194" spans="1:10" x14ac:dyDescent="0.35">
      <c r="A194" s="90">
        <v>2008</v>
      </c>
      <c r="B194" s="91">
        <v>5161</v>
      </c>
      <c r="C194" s="91">
        <v>4527</v>
      </c>
      <c r="D194" s="91">
        <v>4727</v>
      </c>
      <c r="E194" s="80">
        <f t="shared" si="8"/>
        <v>1.0918129892109161</v>
      </c>
      <c r="H194" s="90">
        <v>2008</v>
      </c>
      <c r="I194" s="91">
        <v>3527</v>
      </c>
      <c r="J194" s="91">
        <v>3902</v>
      </c>
    </row>
    <row r="195" spans="1:10" x14ac:dyDescent="0.35">
      <c r="A195" s="90">
        <v>2009</v>
      </c>
      <c r="B195" s="91">
        <v>5176</v>
      </c>
      <c r="C195" s="91">
        <v>4572</v>
      </c>
      <c r="D195" s="91">
        <v>4548</v>
      </c>
      <c r="E195" s="80">
        <f t="shared" si="8"/>
        <v>1.1380826737027265</v>
      </c>
      <c r="H195" s="90">
        <v>2009</v>
      </c>
      <c r="I195" s="91">
        <v>3464</v>
      </c>
      <c r="J195" s="91">
        <v>3846</v>
      </c>
    </row>
    <row r="196" spans="1:10" x14ac:dyDescent="0.35">
      <c r="A196" s="90">
        <v>2010</v>
      </c>
      <c r="B196" s="91">
        <v>5309</v>
      </c>
      <c r="C196" s="91">
        <v>4533</v>
      </c>
      <c r="D196" s="91">
        <v>4555</v>
      </c>
      <c r="E196" s="80">
        <f t="shared" si="8"/>
        <v>1.1655323819978045</v>
      </c>
      <c r="H196" s="90">
        <v>2010</v>
      </c>
      <c r="I196" s="91">
        <v>3474</v>
      </c>
      <c r="J196" s="91">
        <v>3949</v>
      </c>
    </row>
    <row r="197" spans="1:10" x14ac:dyDescent="0.35">
      <c r="A197" s="90">
        <v>2011</v>
      </c>
      <c r="B197" s="91">
        <v>5268</v>
      </c>
      <c r="C197" s="91">
        <v>4502</v>
      </c>
      <c r="D197" s="91">
        <v>4665</v>
      </c>
      <c r="E197" s="80">
        <f t="shared" si="8"/>
        <v>1.1292604501607717</v>
      </c>
      <c r="H197" s="90">
        <v>2011</v>
      </c>
      <c r="I197" s="91">
        <v>3559</v>
      </c>
      <c r="J197" s="91">
        <v>3890</v>
      </c>
    </row>
    <row r="198" spans="1:10" x14ac:dyDescent="0.35">
      <c r="A198" s="90">
        <v>2012</v>
      </c>
      <c r="B198" s="91">
        <v>5335</v>
      </c>
      <c r="C198" s="91">
        <v>4442</v>
      </c>
      <c r="D198" s="91">
        <v>4640</v>
      </c>
      <c r="E198" s="80">
        <f t="shared" si="8"/>
        <v>1.1497844827586208</v>
      </c>
      <c r="H198" s="90">
        <v>2012</v>
      </c>
      <c r="I198" s="91">
        <v>3452</v>
      </c>
      <c r="J198" s="91">
        <v>3915</v>
      </c>
    </row>
    <row r="199" spans="1:10" x14ac:dyDescent="0.35">
      <c r="A199" s="90">
        <v>2013</v>
      </c>
      <c r="B199" s="91">
        <v>5429</v>
      </c>
      <c r="C199" s="91">
        <v>4543</v>
      </c>
      <c r="D199" s="91">
        <v>4584</v>
      </c>
      <c r="E199" s="80">
        <f t="shared" si="8"/>
        <v>1.1843368237347296</v>
      </c>
      <c r="H199" s="90">
        <v>2013</v>
      </c>
      <c r="I199" s="91">
        <v>3465</v>
      </c>
      <c r="J199" s="91">
        <v>3966</v>
      </c>
    </row>
    <row r="200" spans="1:10" x14ac:dyDescent="0.35">
      <c r="A200" s="90">
        <v>2014</v>
      </c>
      <c r="B200" s="91">
        <v>5485</v>
      </c>
      <c r="C200" s="91">
        <v>4489</v>
      </c>
      <c r="D200" s="91">
        <v>4483</v>
      </c>
      <c r="E200" s="80">
        <f t="shared" si="8"/>
        <v>1.2235110417131385</v>
      </c>
      <c r="H200" s="90">
        <v>2014</v>
      </c>
      <c r="I200" s="91">
        <v>3497</v>
      </c>
      <c r="J200" s="91">
        <v>3865</v>
      </c>
    </row>
    <row r="201" spans="1:10" x14ac:dyDescent="0.35">
      <c r="A201" s="90">
        <v>2015</v>
      </c>
      <c r="B201" s="91">
        <v>5165</v>
      </c>
      <c r="C201" s="91">
        <v>4416</v>
      </c>
      <c r="D201" s="91">
        <v>4533</v>
      </c>
      <c r="E201" s="80">
        <f t="shared" si="8"/>
        <v>1.1394220163247297</v>
      </c>
      <c r="H201" s="90">
        <v>2015</v>
      </c>
      <c r="I201" s="91">
        <v>3489</v>
      </c>
      <c r="J201" s="91">
        <v>3868</v>
      </c>
    </row>
    <row r="202" spans="1:10" x14ac:dyDescent="0.35">
      <c r="A202" s="90">
        <v>2016</v>
      </c>
      <c r="B202" s="91">
        <v>5150</v>
      </c>
      <c r="C202" s="91">
        <v>4459</v>
      </c>
      <c r="D202" s="91">
        <v>4482</v>
      </c>
      <c r="E202" s="80">
        <f t="shared" si="8"/>
        <v>1.1490406068719321</v>
      </c>
      <c r="H202" s="90">
        <v>2016</v>
      </c>
      <c r="I202" s="91">
        <v>3468</v>
      </c>
      <c r="J202" s="91">
        <v>3782</v>
      </c>
    </row>
    <row r="203" spans="1:10" x14ac:dyDescent="0.35">
      <c r="A203" s="90">
        <v>2017</v>
      </c>
      <c r="B203" s="91">
        <v>5217</v>
      </c>
      <c r="C203" s="91">
        <v>4503</v>
      </c>
      <c r="D203" s="91">
        <v>4510</v>
      </c>
      <c r="E203" s="80">
        <f t="shared" si="8"/>
        <v>1.1567627494456763</v>
      </c>
      <c r="H203" s="90">
        <v>2017</v>
      </c>
      <c r="I203" s="91">
        <v>3470</v>
      </c>
      <c r="J203" s="91">
        <v>3855</v>
      </c>
    </row>
    <row r="204" spans="1:10" ht="15.5" x14ac:dyDescent="0.35">
      <c r="A204" s="90" t="s">
        <v>830</v>
      </c>
      <c r="B204" s="91">
        <v>5184</v>
      </c>
      <c r="C204" s="91">
        <v>4485</v>
      </c>
      <c r="D204" s="91">
        <v>4438</v>
      </c>
      <c r="E204" s="80">
        <f t="shared" si="8"/>
        <v>1.1680937359170798</v>
      </c>
      <c r="H204" s="90" t="s">
        <v>830</v>
      </c>
      <c r="I204" s="91">
        <v>3532</v>
      </c>
      <c r="J204" s="91">
        <v>3778</v>
      </c>
    </row>
    <row r="205" spans="1:10" x14ac:dyDescent="0.35">
      <c r="A205" s="192" t="s">
        <v>831</v>
      </c>
      <c r="B205" s="192"/>
      <c r="C205" s="192"/>
      <c r="D205" s="192"/>
      <c r="H205" s="192" t="s">
        <v>831</v>
      </c>
      <c r="I205" s="192"/>
      <c r="J205" s="192"/>
    </row>
    <row r="206" spans="1:10" x14ac:dyDescent="0.35">
      <c r="A206" s="92" t="s">
        <v>832</v>
      </c>
      <c r="B206" s="93">
        <v>6.0000000000000001E-3</v>
      </c>
      <c r="C206" s="93">
        <v>2E-3</v>
      </c>
      <c r="D206" s="93">
        <v>1E-3</v>
      </c>
      <c r="H206" s="92" t="s">
        <v>832</v>
      </c>
      <c r="I206" s="93">
        <v>-3.0000000000000001E-3</v>
      </c>
      <c r="J206" s="93">
        <v>-1E-3</v>
      </c>
    </row>
    <row r="207" spans="1:10" ht="15" thickBot="1" x14ac:dyDescent="0.4">
      <c r="A207" s="94" t="s">
        <v>833</v>
      </c>
      <c r="B207" s="95">
        <v>0</v>
      </c>
      <c r="C207" s="95">
        <v>-1E-3</v>
      </c>
      <c r="D207" s="95">
        <v>-6.0000000000000001E-3</v>
      </c>
      <c r="H207" s="94" t="s">
        <v>833</v>
      </c>
      <c r="I207" s="95">
        <v>0</v>
      </c>
      <c r="J207" s="95">
        <v>-3.0000000000000001E-3</v>
      </c>
    </row>
    <row r="208" spans="1:10" ht="16" x14ac:dyDescent="0.35">
      <c r="H208" s="96" t="s">
        <v>835</v>
      </c>
    </row>
    <row r="209" spans="1:10" ht="15.5" x14ac:dyDescent="0.35">
      <c r="A209" s="191" t="s">
        <v>834</v>
      </c>
      <c r="B209" s="191"/>
      <c r="C209" s="191"/>
      <c r="D209" s="191"/>
      <c r="H209" s="97" t="s">
        <v>836</v>
      </c>
      <c r="I209" s="96"/>
      <c r="J209" s="96"/>
    </row>
    <row r="210" spans="1:10" x14ac:dyDescent="0.35">
      <c r="A210" s="191"/>
      <c r="B210" s="191"/>
      <c r="C210" s="191"/>
      <c r="D210" s="191"/>
      <c r="H210" s="114"/>
      <c r="I210" s="114"/>
      <c r="J210" s="114"/>
    </row>
    <row r="211" spans="1:10" ht="16" x14ac:dyDescent="0.35">
      <c r="A211" s="96" t="s">
        <v>835</v>
      </c>
      <c r="H211" s="114"/>
      <c r="I211" s="114"/>
      <c r="J211" s="114"/>
    </row>
    <row r="212" spans="1:10" ht="15.5" x14ac:dyDescent="0.35">
      <c r="A212" s="97" t="s">
        <v>836</v>
      </c>
      <c r="B212" s="115"/>
      <c r="C212" s="115"/>
      <c r="D212" s="115"/>
      <c r="I212" s="96"/>
      <c r="J212" s="96"/>
    </row>
  </sheetData>
  <mergeCells count="14">
    <mergeCell ref="A209:D210"/>
    <mergeCell ref="A157:D157"/>
    <mergeCell ref="H157:J157"/>
    <mergeCell ref="A158:D158"/>
    <mergeCell ref="H158:J158"/>
    <mergeCell ref="A205:D205"/>
    <mergeCell ref="H205:J205"/>
    <mergeCell ref="A156:D156"/>
    <mergeCell ref="H156:J156"/>
    <mergeCell ref="A150:D152"/>
    <mergeCell ref="H152:J153"/>
    <mergeCell ref="A154:D154"/>
    <mergeCell ref="A155:D155"/>
    <mergeCell ref="H155:J155"/>
  </mergeCells>
  <hyperlinks>
    <hyperlink ref="A45" r:id="rId1" xr:uid="{1AD51F7F-66A0-4452-90A3-987DD5131CA6}"/>
  </hyperlinks>
  <pageMargins left="0.7" right="0.7" top="0.75" bottom="0.75" header="0.3" footer="0.3"/>
  <pageSetup orientation="portrait" horizontalDpi="200" r:id="rId2"/>
  <drawing r:id="rId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codeName="Sheet32">
    <tabColor theme="3"/>
  </sheetPr>
  <dimension ref="A1:AJ8"/>
  <sheetViews>
    <sheetView workbookViewId="0"/>
  </sheetViews>
  <sheetFormatPr defaultRowHeight="14.5" x14ac:dyDescent="0.35"/>
  <cols>
    <col min="1" max="1" width="24.3632812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B$5*('BNVP-HDVs-psgr'!B$2/'BNVP-HDVs-psgr'!B$5)</f>
        <v>38227.847441860467</v>
      </c>
      <c r="C2" s="4">
        <f>C$5*('BNVP-HDVs-psgr'!C$2/'BNVP-HDVs-psgr'!C$5)</f>
        <v>38227.847441860467</v>
      </c>
      <c r="D2" s="4">
        <f>D$5*('BNVP-HDVs-psgr'!D$2/'BNVP-HDVs-psgr'!D$5)</f>
        <v>35541.049395423477</v>
      </c>
      <c r="E2" s="4">
        <f>E$5*('BNVP-HDVs-psgr'!E$2/'BNVP-HDVs-psgr'!E$5)</f>
        <v>33794.585534012534</v>
      </c>
      <c r="F2" s="4">
        <f>F$5*('BNVP-HDVs-psgr'!F$2/'BNVP-HDVs-psgr'!F$5)</f>
        <v>32539.392986447896</v>
      </c>
      <c r="G2" s="4">
        <f>G$5*('BNVP-HDVs-psgr'!G$2/'BNVP-HDVs-psgr'!G$5)</f>
        <v>31555.589549877324</v>
      </c>
      <c r="H2" s="4">
        <f>H$5*('BNVP-HDVs-psgr'!H$2/'BNVP-HDVs-psgr'!H$5)</f>
        <v>30827.400785951955</v>
      </c>
      <c r="I2" s="4">
        <f>I$5*('BNVP-HDVs-psgr'!I$2/'BNVP-HDVs-psgr'!I$5)</f>
        <v>30210.105893798009</v>
      </c>
      <c r="J2" s="4">
        <f>J$5*('BNVP-HDVs-psgr'!J$2/'BNVP-HDVs-psgr'!J$5)</f>
        <v>29670.150164411771</v>
      </c>
      <c r="K2" s="4">
        <f>K$5*('BNVP-HDVs-psgr'!K$2/'BNVP-HDVs-psgr'!K$5)</f>
        <v>29205.957586695724</v>
      </c>
      <c r="L2" s="4">
        <f>L$5*('BNVP-HDVs-psgr'!L$2/'BNVP-HDVs-psgr'!L$5)</f>
        <v>28801.008698873069</v>
      </c>
      <c r="M2" s="4">
        <f>M$5*('BNVP-HDVs-psgr'!M$2/'BNVP-HDVs-psgr'!M$5)</f>
        <v>28443.641018822102</v>
      </c>
      <c r="N2" s="4">
        <f>N$5*('BNVP-HDVs-psgr'!N$2/'BNVP-HDVs-psgr'!N$5)</f>
        <v>28127.092026197075</v>
      </c>
      <c r="O2" s="4">
        <f>O$5*('BNVP-HDVs-psgr'!O$2/'BNVP-HDVs-psgr'!O$5)</f>
        <v>27849.800037274072</v>
      </c>
      <c r="P2" s="4">
        <f>P$5*('BNVP-HDVs-psgr'!P$2/'BNVP-HDVs-psgr'!P$5)</f>
        <v>27610.060094593056</v>
      </c>
      <c r="Q2" s="4">
        <f>Q$5*('BNVP-HDVs-psgr'!Q$2/'BNVP-HDVs-psgr'!Q$5)</f>
        <v>27401.568153763892</v>
      </c>
      <c r="R2" s="4">
        <f>R$5*('BNVP-HDVs-psgr'!R$2/'BNVP-HDVs-psgr'!R$5)</f>
        <v>27219.323961395356</v>
      </c>
      <c r="S2" s="4">
        <f>S$5*('BNVP-HDVs-psgr'!S$2/'BNVP-HDVs-psgr'!S$5)</f>
        <v>27056.421723405561</v>
      </c>
      <c r="T2" s="4">
        <f>T$5*('BNVP-HDVs-psgr'!T$2/'BNVP-HDVs-psgr'!T$5)</f>
        <v>26913.606463222426</v>
      </c>
      <c r="U2" s="4">
        <f>U$5*('BNVP-HDVs-psgr'!U$2/'BNVP-HDVs-psgr'!U$5)</f>
        <v>26787.210373200785</v>
      </c>
      <c r="V2" s="4">
        <f>V$5*('BNVP-HDVs-psgr'!V$2/'BNVP-HDVs-psgr'!V$5)</f>
        <v>26673.780556299713</v>
      </c>
      <c r="W2" s="4">
        <f>W$5*('BNVP-HDVs-psgr'!W$2/'BNVP-HDVs-psgr'!W$5)</f>
        <v>26570.795394763158</v>
      </c>
      <c r="X2" s="4">
        <f>X$5*('BNVP-HDVs-psgr'!X$2/'BNVP-HDVs-psgr'!X$5)</f>
        <v>26478.99991201904</v>
      </c>
      <c r="Y2" s="4">
        <f>Y$5*('BNVP-HDVs-psgr'!Y$2/'BNVP-HDVs-psgr'!Y$5)</f>
        <v>26396.416930508643</v>
      </c>
      <c r="Z2" s="4">
        <f>Z$5*('BNVP-HDVs-psgr'!Z$2/'BNVP-HDVs-psgr'!Z$5)</f>
        <v>26321.728331859496</v>
      </c>
      <c r="AA2" s="4">
        <f>AA$5*('BNVP-HDVs-psgr'!AA$2/'BNVP-HDVs-psgr'!AA$5)</f>
        <v>26253.859563050555</v>
      </c>
      <c r="AB2" s="4">
        <f>AB$5*('BNVP-HDVs-psgr'!AB$2/'BNVP-HDVs-psgr'!AB$5)</f>
        <v>26191.893672170532</v>
      </c>
      <c r="AC2" s="4">
        <f>AC$5*('BNVP-HDVs-psgr'!AC$2/'BNVP-HDVs-psgr'!AC$5)</f>
        <v>26135.200254780415</v>
      </c>
      <c r="AD2" s="4">
        <f>AD$5*('BNVP-HDVs-psgr'!AD$2/'BNVP-HDVs-psgr'!AD$5)</f>
        <v>26082.991305331438</v>
      </c>
      <c r="AE2" s="4">
        <f>AE$5*('BNVP-HDVs-psgr'!AE$2/'BNVP-HDVs-psgr'!AE$5)</f>
        <v>26034.708056252668</v>
      </c>
      <c r="AF2" s="4">
        <f>AF$5*('BNVP-HDVs-psgr'!AF$2/'BNVP-HDVs-psgr'!AF$5)</f>
        <v>25989.906358962071</v>
      </c>
      <c r="AG2" s="4">
        <f>AG$5*('BNVP-HDVs-psgr'!AG$2/'BNVP-HDVs-psgr'!AG$5)</f>
        <v>25948.19937437207</v>
      </c>
      <c r="AH2" s="4"/>
      <c r="AI2" s="4"/>
    </row>
    <row r="3" spans="1:36" x14ac:dyDescent="0.3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35">
      <c r="A4" t="s">
        <v>2</v>
      </c>
      <c r="B4">
        <f>B$5</f>
        <v>30000</v>
      </c>
      <c r="C4">
        <f t="shared" ref="C4:AG4" si="0">C$5</f>
        <v>30000</v>
      </c>
      <c r="D4">
        <f t="shared" si="0"/>
        <v>30000</v>
      </c>
      <c r="E4">
        <f t="shared" si="0"/>
        <v>30000</v>
      </c>
      <c r="F4">
        <f t="shared" si="0"/>
        <v>30000</v>
      </c>
      <c r="G4">
        <f t="shared" si="0"/>
        <v>30000</v>
      </c>
      <c r="H4">
        <f t="shared" si="0"/>
        <v>30000</v>
      </c>
      <c r="I4">
        <f t="shared" si="0"/>
        <v>30000</v>
      </c>
      <c r="J4">
        <f t="shared" si="0"/>
        <v>30000</v>
      </c>
      <c r="K4">
        <f t="shared" si="0"/>
        <v>30000</v>
      </c>
      <c r="L4">
        <f t="shared" si="0"/>
        <v>30000</v>
      </c>
      <c r="M4">
        <f t="shared" si="0"/>
        <v>30000</v>
      </c>
      <c r="N4">
        <f t="shared" si="0"/>
        <v>30000</v>
      </c>
      <c r="O4">
        <f t="shared" si="0"/>
        <v>30000</v>
      </c>
      <c r="P4">
        <f t="shared" si="0"/>
        <v>30000</v>
      </c>
      <c r="Q4">
        <f t="shared" si="0"/>
        <v>30000</v>
      </c>
      <c r="R4">
        <f t="shared" si="0"/>
        <v>30000</v>
      </c>
      <c r="S4">
        <f t="shared" si="0"/>
        <v>30000</v>
      </c>
      <c r="T4">
        <f t="shared" si="0"/>
        <v>30000</v>
      </c>
      <c r="U4">
        <f t="shared" si="0"/>
        <v>30000</v>
      </c>
      <c r="V4">
        <f t="shared" si="0"/>
        <v>30000</v>
      </c>
      <c r="W4">
        <f t="shared" si="0"/>
        <v>30000</v>
      </c>
      <c r="X4">
        <f t="shared" si="0"/>
        <v>30000</v>
      </c>
      <c r="Y4">
        <f t="shared" si="0"/>
        <v>30000</v>
      </c>
      <c r="Z4">
        <f t="shared" si="0"/>
        <v>30000</v>
      </c>
      <c r="AA4">
        <f t="shared" si="0"/>
        <v>30000</v>
      </c>
      <c r="AB4">
        <f t="shared" si="0"/>
        <v>30000</v>
      </c>
      <c r="AC4">
        <f t="shared" si="0"/>
        <v>30000</v>
      </c>
      <c r="AD4">
        <f t="shared" si="0"/>
        <v>30000</v>
      </c>
      <c r="AE4">
        <f t="shared" si="0"/>
        <v>30000</v>
      </c>
      <c r="AF4">
        <f t="shared" si="0"/>
        <v>30000</v>
      </c>
      <c r="AG4">
        <f t="shared" si="0"/>
        <v>30000</v>
      </c>
    </row>
    <row r="5" spans="1:36" x14ac:dyDescent="0.35">
      <c r="A5" t="s">
        <v>3</v>
      </c>
      <c r="B5" s="12">
        <f>Ships!A49</f>
        <v>30000</v>
      </c>
      <c r="C5">
        <f t="shared" ref="C5:AG5" si="1">$B5</f>
        <v>30000</v>
      </c>
      <c r="D5">
        <f t="shared" si="1"/>
        <v>30000</v>
      </c>
      <c r="E5">
        <f t="shared" si="1"/>
        <v>30000</v>
      </c>
      <c r="F5">
        <f t="shared" si="1"/>
        <v>30000</v>
      </c>
      <c r="G5">
        <f t="shared" si="1"/>
        <v>30000</v>
      </c>
      <c r="H5">
        <f t="shared" si="1"/>
        <v>30000</v>
      </c>
      <c r="I5">
        <f t="shared" si="1"/>
        <v>30000</v>
      </c>
      <c r="J5">
        <f t="shared" si="1"/>
        <v>30000</v>
      </c>
      <c r="K5">
        <f t="shared" si="1"/>
        <v>30000</v>
      </c>
      <c r="L5">
        <f t="shared" si="1"/>
        <v>30000</v>
      </c>
      <c r="M5">
        <f t="shared" si="1"/>
        <v>30000</v>
      </c>
      <c r="N5">
        <f t="shared" si="1"/>
        <v>30000</v>
      </c>
      <c r="O5">
        <f t="shared" si="1"/>
        <v>30000</v>
      </c>
      <c r="P5">
        <f t="shared" si="1"/>
        <v>30000</v>
      </c>
      <c r="Q5">
        <f t="shared" si="1"/>
        <v>30000</v>
      </c>
      <c r="R5">
        <f t="shared" si="1"/>
        <v>30000</v>
      </c>
      <c r="S5">
        <f t="shared" si="1"/>
        <v>30000</v>
      </c>
      <c r="T5">
        <f t="shared" si="1"/>
        <v>30000</v>
      </c>
      <c r="U5">
        <f t="shared" si="1"/>
        <v>30000</v>
      </c>
      <c r="V5">
        <f t="shared" si="1"/>
        <v>30000</v>
      </c>
      <c r="W5">
        <f t="shared" si="1"/>
        <v>30000</v>
      </c>
      <c r="X5">
        <f t="shared" si="1"/>
        <v>30000</v>
      </c>
      <c r="Y5">
        <f t="shared" si="1"/>
        <v>30000</v>
      </c>
      <c r="Z5">
        <f t="shared" si="1"/>
        <v>30000</v>
      </c>
      <c r="AA5">
        <f t="shared" si="1"/>
        <v>30000</v>
      </c>
      <c r="AB5">
        <f t="shared" si="1"/>
        <v>30000</v>
      </c>
      <c r="AC5">
        <f t="shared" si="1"/>
        <v>30000</v>
      </c>
      <c r="AD5">
        <f t="shared" si="1"/>
        <v>30000</v>
      </c>
      <c r="AE5">
        <f t="shared" si="1"/>
        <v>30000</v>
      </c>
      <c r="AF5">
        <f t="shared" si="1"/>
        <v>30000</v>
      </c>
      <c r="AG5">
        <f t="shared" si="1"/>
        <v>30000</v>
      </c>
    </row>
    <row r="6" spans="1:36" x14ac:dyDescent="0.3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3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35">
      <c r="A8" s="5" t="s">
        <v>566</v>
      </c>
      <c r="B8" s="4">
        <f>B$5*('BNVP-HDVs-psgr'!B$8/'BNVP-HDVs-psgr'!B$5)</f>
        <v>49150.089568106312</v>
      </c>
      <c r="C8" s="4">
        <f>C$5*('BNVP-HDVs-psgr'!C$8/'BNVP-HDVs-psgr'!C$5)</f>
        <v>49150.089568106312</v>
      </c>
      <c r="D8" s="4">
        <f>D$5*('BNVP-HDVs-psgr'!D$8/'BNVP-HDVs-psgr'!D$5)</f>
        <v>44118.983533287959</v>
      </c>
      <c r="E8" s="4">
        <f>E$5*('BNVP-HDVs-psgr'!E$8/'BNVP-HDVs-psgr'!E$5)</f>
        <v>41074.043995554122</v>
      </c>
      <c r="F8" s="4">
        <f>F$5*('BNVP-HDVs-psgr'!F$8/'BNVP-HDVs-psgr'!F$5)</f>
        <v>38949.375082419181</v>
      </c>
      <c r="G8" s="4">
        <f>G$5*('BNVP-HDVs-psgr'!G$8/'BNVP-HDVs-psgr'!G$5)</f>
        <v>37321.11949948367</v>
      </c>
      <c r="H8" s="4">
        <f>H$5*('BNVP-HDVs-psgr'!H$8/'BNVP-HDVs-psgr'!H$5)</f>
        <v>36100.17119666349</v>
      </c>
      <c r="I8" s="4">
        <f>I$5*('BNVP-HDVs-psgr'!I$8/'BNVP-HDVs-psgr'!I$5)</f>
        <v>35079.251014179696</v>
      </c>
      <c r="J8" s="4">
        <f>J$5*('BNVP-HDVs-psgr'!J$8/'BNVP-HDVs-psgr'!J$5)</f>
        <v>34198.705986487854</v>
      </c>
      <c r="K8" s="4">
        <f>K$5*('BNVP-HDVs-psgr'!K$8/'BNVP-HDVs-psgr'!K$5)</f>
        <v>33443.505837076096</v>
      </c>
      <c r="L8" s="4">
        <f>L$5*('BNVP-HDVs-psgr'!L$8/'BNVP-HDVs-psgr'!L$5)</f>
        <v>32785.594836356635</v>
      </c>
      <c r="M8" s="4">
        <f>M$5*('BNVP-HDVs-psgr'!M$8/'BNVP-HDVs-psgr'!M$5)</f>
        <v>32205.283765855151</v>
      </c>
      <c r="N8" s="4">
        <f>N$5*('BNVP-HDVs-psgr'!N$8/'BNVP-HDVs-psgr'!N$5)</f>
        <v>31705.799878326419</v>
      </c>
      <c r="O8" s="4">
        <f>O$5*('BNVP-HDVs-psgr'!O$8/'BNVP-HDVs-psgr'!O$5)</f>
        <v>31223.347419430022</v>
      </c>
      <c r="P8" s="4">
        <f>P$5*('BNVP-HDVs-psgr'!P$8/'BNVP-HDVs-psgr'!P$5)</f>
        <v>30786.149640470201</v>
      </c>
      <c r="Q8" s="4">
        <f>Q$5*('BNVP-HDVs-psgr'!Q$8/'BNVP-HDVs-psgr'!Q$5)</f>
        <v>30386.528587025881</v>
      </c>
      <c r="R8" s="4">
        <f>R$5*('BNVP-HDVs-psgr'!R$8/'BNVP-HDVs-psgr'!R$5)</f>
        <v>30018.397984755982</v>
      </c>
      <c r="S8" s="4">
        <f>S$5*('BNVP-HDVs-psgr'!S$8/'BNVP-HDVs-psgr'!S$5)</f>
        <v>29673.703690840972</v>
      </c>
      <c r="T8" s="4">
        <f>T$5*('BNVP-HDVs-psgr'!T$8/'BNVP-HDVs-psgr'!T$5)</f>
        <v>29352.904304291136</v>
      </c>
      <c r="U8" s="4">
        <f>U$5*('BNVP-HDVs-psgr'!U$8/'BNVP-HDVs-psgr'!U$5)</f>
        <v>29051.654378352348</v>
      </c>
      <c r="V8" s="4">
        <f>V$5*('BNVP-HDVs-psgr'!V$8/'BNVP-HDVs-psgr'!V$5)</f>
        <v>28765.92972564495</v>
      </c>
      <c r="W8" s="4">
        <f>W$5*('BNVP-HDVs-psgr'!W$8/'BNVP-HDVs-psgr'!W$5)</f>
        <v>28492.789050628864</v>
      </c>
      <c r="X8" s="4">
        <f>X$5*('BNVP-HDVs-psgr'!X$8/'BNVP-HDVs-psgr'!X$5)</f>
        <v>28232.835590793689</v>
      </c>
      <c r="Y8" s="4">
        <f>Y$5*('BNVP-HDVs-psgr'!Y$8/'BNVP-HDVs-psgr'!Y$5)</f>
        <v>27983.768504643198</v>
      </c>
      <c r="Z8" s="4">
        <f>Z$5*('BNVP-HDVs-psgr'!Z$8/'BNVP-HDVs-psgr'!Z$5)</f>
        <v>27744.029864262408</v>
      </c>
      <c r="AA8" s="4">
        <f>AA$5*('BNVP-HDVs-psgr'!AA$8/'BNVP-HDVs-psgr'!AA$5)</f>
        <v>27512.349143798674</v>
      </c>
      <c r="AB8" s="4">
        <f>AB$5*('BNVP-HDVs-psgr'!AB$8/'BNVP-HDVs-psgr'!AB$5)</f>
        <v>27287.646230295333</v>
      </c>
      <c r="AC8" s="4">
        <f>AC$5*('BNVP-HDVs-psgr'!AC$8/'BNVP-HDVs-psgr'!AC$5)</f>
        <v>27069.16017132717</v>
      </c>
      <c r="AD8" s="4">
        <f>AD$5*('BNVP-HDVs-psgr'!AD$8/'BNVP-HDVs-psgr'!AD$5)</f>
        <v>26855.983124209</v>
      </c>
      <c r="AE8" s="4">
        <f>AE$5*('BNVP-HDVs-psgr'!AE$8/'BNVP-HDVs-psgr'!AE$5)</f>
        <v>26647.461106447292</v>
      </c>
      <c r="AF8" s="4">
        <f>AF$5*('BNVP-HDVs-psgr'!AF$8/'BNVP-HDVs-psgr'!AF$5)</f>
        <v>26443.070386648647</v>
      </c>
      <c r="AG8" s="4">
        <f>AG$5*('BNVP-HDVs-psgr'!AG$8/'BNVP-HDVs-psgr'!AG$5)</f>
        <v>26242.356029553561</v>
      </c>
      <c r="AH8" s="4"/>
      <c r="AI8" s="4"/>
      <c r="AJ8" s="24"/>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codeName="Sheet33">
    <tabColor theme="3"/>
  </sheetPr>
  <dimension ref="A1:AJ8"/>
  <sheetViews>
    <sheetView workbookViewId="0"/>
  </sheetViews>
  <sheetFormatPr defaultRowHeight="14.5" x14ac:dyDescent="0.35"/>
  <cols>
    <col min="1" max="1" width="24.3632812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B$5*('BNVP-HDVs-psgr'!B$2/'BNVP-HDVs-psgr'!B$5)</f>
        <v>12742615.813953489</v>
      </c>
      <c r="C2" s="4">
        <f>C$5*('BNVP-HDVs-psgr'!C$2/'BNVP-HDVs-psgr'!C$5)</f>
        <v>12742615.813953489</v>
      </c>
      <c r="D2" s="4">
        <f>D$5*('BNVP-HDVs-psgr'!D$2/'BNVP-HDVs-psgr'!D$5)</f>
        <v>11847016.465141159</v>
      </c>
      <c r="E2" s="4">
        <f>E$5*('BNVP-HDVs-psgr'!E$2/'BNVP-HDVs-psgr'!E$5)</f>
        <v>11264861.844670845</v>
      </c>
      <c r="F2" s="4">
        <f>F$5*('BNVP-HDVs-psgr'!F$2/'BNVP-HDVs-psgr'!F$5)</f>
        <v>10846464.328815965</v>
      </c>
      <c r="G2" s="4">
        <f>G$5*('BNVP-HDVs-psgr'!G$2/'BNVP-HDVs-psgr'!G$5)</f>
        <v>10518529.849959109</v>
      </c>
      <c r="H2" s="4">
        <f>H$5*('BNVP-HDVs-psgr'!H$2/'BNVP-HDVs-psgr'!H$5)</f>
        <v>10275800.261983985</v>
      </c>
      <c r="I2" s="4">
        <f>I$5*('BNVP-HDVs-psgr'!I$2/'BNVP-HDVs-psgr'!I$5)</f>
        <v>10070035.29793267</v>
      </c>
      <c r="J2" s="4">
        <f>J$5*('BNVP-HDVs-psgr'!J$2/'BNVP-HDVs-psgr'!J$5)</f>
        <v>9890050.0548039246</v>
      </c>
      <c r="K2" s="4">
        <f>K$5*('BNVP-HDVs-psgr'!K$2/'BNVP-HDVs-psgr'!K$5)</f>
        <v>9735319.1955652423</v>
      </c>
      <c r="L2" s="4">
        <f>L$5*('BNVP-HDVs-psgr'!L$2/'BNVP-HDVs-psgr'!L$5)</f>
        <v>9600336.232957691</v>
      </c>
      <c r="M2" s="4">
        <f>M$5*('BNVP-HDVs-psgr'!M$2/'BNVP-HDVs-psgr'!M$5)</f>
        <v>9481213.6729407012</v>
      </c>
      <c r="N2" s="4">
        <f>N$5*('BNVP-HDVs-psgr'!N$2/'BNVP-HDVs-psgr'!N$5)</f>
        <v>9375697.3420656919</v>
      </c>
      <c r="O2" s="4">
        <f>O$5*('BNVP-HDVs-psgr'!O$2/'BNVP-HDVs-psgr'!O$5)</f>
        <v>9283266.6790913567</v>
      </c>
      <c r="P2" s="4">
        <f>P$5*('BNVP-HDVs-psgr'!P$2/'BNVP-HDVs-psgr'!P$5)</f>
        <v>9203353.3648643512</v>
      </c>
      <c r="Q2" s="4">
        <f>Q$5*('BNVP-HDVs-psgr'!Q$2/'BNVP-HDVs-psgr'!Q$5)</f>
        <v>9133856.0512546301</v>
      </c>
      <c r="R2" s="4">
        <f>R$5*('BNVP-HDVs-psgr'!R$2/'BNVP-HDVs-psgr'!R$5)</f>
        <v>9073107.9871317856</v>
      </c>
      <c r="S2" s="4">
        <f>S$5*('BNVP-HDVs-psgr'!S$2/'BNVP-HDVs-psgr'!S$5)</f>
        <v>9018807.2411351874</v>
      </c>
      <c r="T2" s="4">
        <f>T$5*('BNVP-HDVs-psgr'!T$2/'BNVP-HDVs-psgr'!T$5)</f>
        <v>8971202.1544074751</v>
      </c>
      <c r="U2" s="4">
        <f>U$5*('BNVP-HDVs-psgr'!U$2/'BNVP-HDVs-psgr'!U$5)</f>
        <v>8929070.1244002618</v>
      </c>
      <c r="V2" s="4">
        <f>V$5*('BNVP-HDVs-psgr'!V$2/'BNVP-HDVs-psgr'!V$5)</f>
        <v>8891260.1854332369</v>
      </c>
      <c r="W2" s="4">
        <f>W$5*('BNVP-HDVs-psgr'!W$2/'BNVP-HDVs-psgr'!W$5)</f>
        <v>8856931.7982543856</v>
      </c>
      <c r="X2" s="4">
        <f>X$5*('BNVP-HDVs-psgr'!X$2/'BNVP-HDVs-psgr'!X$5)</f>
        <v>8826333.3040063456</v>
      </c>
      <c r="Y2" s="4">
        <f>Y$5*('BNVP-HDVs-psgr'!Y$2/'BNVP-HDVs-psgr'!Y$5)</f>
        <v>8798805.6435028818</v>
      </c>
      <c r="Z2" s="4">
        <f>Z$5*('BNVP-HDVs-psgr'!Z$2/'BNVP-HDVs-psgr'!Z$5)</f>
        <v>8773909.4439531658</v>
      </c>
      <c r="AA2" s="4">
        <f>AA$5*('BNVP-HDVs-psgr'!AA$2/'BNVP-HDVs-psgr'!AA$5)</f>
        <v>8751286.5210168529</v>
      </c>
      <c r="AB2" s="4">
        <f>AB$5*('BNVP-HDVs-psgr'!AB$2/'BNVP-HDVs-psgr'!AB$5)</f>
        <v>8730631.2240568437</v>
      </c>
      <c r="AC2" s="4">
        <f>AC$5*('BNVP-HDVs-psgr'!AC$2/'BNVP-HDVs-psgr'!AC$5)</f>
        <v>8711733.4182601385</v>
      </c>
      <c r="AD2" s="4">
        <f>AD$5*('BNVP-HDVs-psgr'!AD$2/'BNVP-HDVs-psgr'!AD$5)</f>
        <v>8694330.4351104796</v>
      </c>
      <c r="AE2" s="4">
        <f>AE$5*('BNVP-HDVs-psgr'!AE$2/'BNVP-HDVs-psgr'!AE$5)</f>
        <v>8678236.0187508892</v>
      </c>
      <c r="AF2" s="4">
        <f>AF$5*('BNVP-HDVs-psgr'!AF$2/'BNVP-HDVs-psgr'!AF$5)</f>
        <v>8663302.119654024</v>
      </c>
      <c r="AG2" s="4">
        <f>AG$5*('BNVP-HDVs-psgr'!AG$2/'BNVP-HDVs-psgr'!AG$5)</f>
        <v>8649399.7914573569</v>
      </c>
      <c r="AH2" s="4"/>
      <c r="AI2" s="4"/>
    </row>
    <row r="3" spans="1:36" x14ac:dyDescent="0.3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3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35">
      <c r="A5" t="s">
        <v>3</v>
      </c>
      <c r="B5" s="12">
        <f>Ships!A35</f>
        <v>10000000</v>
      </c>
      <c r="C5">
        <f t="shared" ref="C5:AG5" si="0">$B5</f>
        <v>10000000</v>
      </c>
      <c r="D5">
        <f t="shared" si="0"/>
        <v>10000000</v>
      </c>
      <c r="E5">
        <f t="shared" si="0"/>
        <v>10000000</v>
      </c>
      <c r="F5">
        <f t="shared" si="0"/>
        <v>10000000</v>
      </c>
      <c r="G5">
        <f t="shared" si="0"/>
        <v>10000000</v>
      </c>
      <c r="H5">
        <f t="shared" si="0"/>
        <v>10000000</v>
      </c>
      <c r="I5">
        <f t="shared" si="0"/>
        <v>10000000</v>
      </c>
      <c r="J5">
        <f t="shared" si="0"/>
        <v>10000000</v>
      </c>
      <c r="K5">
        <f t="shared" si="0"/>
        <v>10000000</v>
      </c>
      <c r="L5">
        <f t="shared" si="0"/>
        <v>10000000</v>
      </c>
      <c r="M5">
        <f t="shared" si="0"/>
        <v>10000000</v>
      </c>
      <c r="N5">
        <f t="shared" si="0"/>
        <v>10000000</v>
      </c>
      <c r="O5">
        <f t="shared" si="0"/>
        <v>10000000</v>
      </c>
      <c r="P5">
        <f t="shared" si="0"/>
        <v>10000000</v>
      </c>
      <c r="Q5">
        <f t="shared" si="0"/>
        <v>10000000</v>
      </c>
      <c r="R5">
        <f t="shared" si="0"/>
        <v>10000000</v>
      </c>
      <c r="S5">
        <f t="shared" si="0"/>
        <v>10000000</v>
      </c>
      <c r="T5">
        <f t="shared" si="0"/>
        <v>10000000</v>
      </c>
      <c r="U5">
        <f t="shared" si="0"/>
        <v>10000000</v>
      </c>
      <c r="V5">
        <f t="shared" si="0"/>
        <v>10000000</v>
      </c>
      <c r="W5">
        <f t="shared" si="0"/>
        <v>10000000</v>
      </c>
      <c r="X5">
        <f t="shared" si="0"/>
        <v>10000000</v>
      </c>
      <c r="Y5">
        <f t="shared" si="0"/>
        <v>10000000</v>
      </c>
      <c r="Z5">
        <f t="shared" si="0"/>
        <v>10000000</v>
      </c>
      <c r="AA5">
        <f t="shared" si="0"/>
        <v>10000000</v>
      </c>
      <c r="AB5">
        <f t="shared" si="0"/>
        <v>10000000</v>
      </c>
      <c r="AC5">
        <f t="shared" si="0"/>
        <v>10000000</v>
      </c>
      <c r="AD5">
        <f t="shared" si="0"/>
        <v>10000000</v>
      </c>
      <c r="AE5">
        <f t="shared" si="0"/>
        <v>10000000</v>
      </c>
      <c r="AF5">
        <f t="shared" si="0"/>
        <v>10000000</v>
      </c>
      <c r="AG5">
        <f t="shared" si="0"/>
        <v>10000000</v>
      </c>
    </row>
    <row r="6" spans="1:36" x14ac:dyDescent="0.3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3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35">
      <c r="A8" s="5" t="s">
        <v>566</v>
      </c>
      <c r="B8" s="4">
        <f>B$5*('BNVP-HDVs-psgr'!B$8/'BNVP-HDVs-psgr'!B$5)</f>
        <v>16383363.189368771</v>
      </c>
      <c r="C8" s="4">
        <f>C$5*('BNVP-HDVs-psgr'!C$8/'BNVP-HDVs-psgr'!C$5)</f>
        <v>16383363.189368771</v>
      </c>
      <c r="D8" s="4">
        <f>D$5*('BNVP-HDVs-psgr'!D$8/'BNVP-HDVs-psgr'!D$5)</f>
        <v>14706327.84442932</v>
      </c>
      <c r="E8" s="4">
        <f>E$5*('BNVP-HDVs-psgr'!E$8/'BNVP-HDVs-psgr'!E$5)</f>
        <v>13691347.99851804</v>
      </c>
      <c r="F8" s="4">
        <f>F$5*('BNVP-HDVs-psgr'!F$8/'BNVP-HDVs-psgr'!F$5)</f>
        <v>12983125.027473059</v>
      </c>
      <c r="G8" s="4">
        <f>G$5*('BNVP-HDVs-psgr'!G$8/'BNVP-HDVs-psgr'!G$5)</f>
        <v>12440373.166494556</v>
      </c>
      <c r="H8" s="4">
        <f>H$5*('BNVP-HDVs-psgr'!H$8/'BNVP-HDVs-psgr'!H$5)</f>
        <v>12033390.398887832</v>
      </c>
      <c r="I8" s="4">
        <f>I$5*('BNVP-HDVs-psgr'!I$8/'BNVP-HDVs-psgr'!I$5)</f>
        <v>11693083.671393232</v>
      </c>
      <c r="J8" s="4">
        <f>J$5*('BNVP-HDVs-psgr'!J$8/'BNVP-HDVs-psgr'!J$5)</f>
        <v>11399568.662162619</v>
      </c>
      <c r="K8" s="4">
        <f>K$5*('BNVP-HDVs-psgr'!K$8/'BNVP-HDVs-psgr'!K$5)</f>
        <v>11147835.279025365</v>
      </c>
      <c r="L8" s="4">
        <f>L$5*('BNVP-HDVs-psgr'!L$8/'BNVP-HDVs-psgr'!L$5)</f>
        <v>10928531.612118879</v>
      </c>
      <c r="M8" s="4">
        <f>M$5*('BNVP-HDVs-psgr'!M$8/'BNVP-HDVs-psgr'!M$5)</f>
        <v>10735094.588618383</v>
      </c>
      <c r="N8" s="4">
        <f>N$5*('BNVP-HDVs-psgr'!N$8/'BNVP-HDVs-psgr'!N$5)</f>
        <v>10568599.959442141</v>
      </c>
      <c r="O8" s="4">
        <f>O$5*('BNVP-HDVs-psgr'!O$8/'BNVP-HDVs-psgr'!O$5)</f>
        <v>10407782.473143341</v>
      </c>
      <c r="P8" s="4">
        <f>P$5*('BNVP-HDVs-psgr'!P$8/'BNVP-HDVs-psgr'!P$5)</f>
        <v>10262049.880156733</v>
      </c>
      <c r="Q8" s="4">
        <f>Q$5*('BNVP-HDVs-psgr'!Q$8/'BNVP-HDVs-psgr'!Q$5)</f>
        <v>10128842.862341961</v>
      </c>
      <c r="R8" s="4">
        <f>R$5*('BNVP-HDVs-psgr'!R$8/'BNVP-HDVs-psgr'!R$5)</f>
        <v>10006132.661585327</v>
      </c>
      <c r="S8" s="4">
        <f>S$5*('BNVP-HDVs-psgr'!S$8/'BNVP-HDVs-psgr'!S$5)</f>
        <v>9891234.5636136569</v>
      </c>
      <c r="T8" s="4">
        <f>T$5*('BNVP-HDVs-psgr'!T$8/'BNVP-HDVs-psgr'!T$5)</f>
        <v>9784301.4347637128</v>
      </c>
      <c r="U8" s="4">
        <f>U$5*('BNVP-HDVs-psgr'!U$8/'BNVP-HDVs-psgr'!U$5)</f>
        <v>9683884.7927841172</v>
      </c>
      <c r="V8" s="4">
        <f>V$5*('BNVP-HDVs-psgr'!V$8/'BNVP-HDVs-psgr'!V$5)</f>
        <v>9588643.2418816499</v>
      </c>
      <c r="W8" s="4">
        <f>W$5*('BNVP-HDVs-psgr'!W$8/'BNVP-HDVs-psgr'!W$5)</f>
        <v>9497596.3502096217</v>
      </c>
      <c r="X8" s="4">
        <f>X$5*('BNVP-HDVs-psgr'!X$8/'BNVP-HDVs-psgr'!X$5)</f>
        <v>9410945.1969312299</v>
      </c>
      <c r="Y8" s="4">
        <f>Y$5*('BNVP-HDVs-psgr'!Y$8/'BNVP-HDVs-psgr'!Y$5)</f>
        <v>9327922.8348810654</v>
      </c>
      <c r="Z8" s="4">
        <f>Z$5*('BNVP-HDVs-psgr'!Z$8/'BNVP-HDVs-psgr'!Z$5)</f>
        <v>9248009.9547541365</v>
      </c>
      <c r="AA8" s="4">
        <f>AA$5*('BNVP-HDVs-psgr'!AA$8/'BNVP-HDVs-psgr'!AA$5)</f>
        <v>9170783.0479328912</v>
      </c>
      <c r="AB8" s="4">
        <f>AB$5*('BNVP-HDVs-psgr'!AB$8/'BNVP-HDVs-psgr'!AB$5)</f>
        <v>9095882.0767651107</v>
      </c>
      <c r="AC8" s="4">
        <f>AC$5*('BNVP-HDVs-psgr'!AC$8/'BNVP-HDVs-psgr'!AC$5)</f>
        <v>9023053.39044239</v>
      </c>
      <c r="AD8" s="4">
        <f>AD$5*('BNVP-HDVs-psgr'!AD$8/'BNVP-HDVs-psgr'!AD$5)</f>
        <v>8951994.3747363333</v>
      </c>
      <c r="AE8" s="4">
        <f>AE$5*('BNVP-HDVs-psgr'!AE$8/'BNVP-HDVs-psgr'!AE$5)</f>
        <v>8882487.0354824308</v>
      </c>
      <c r="AF8" s="4">
        <f>AF$5*('BNVP-HDVs-psgr'!AF$8/'BNVP-HDVs-psgr'!AF$5)</f>
        <v>8814356.7955495492</v>
      </c>
      <c r="AG8" s="4">
        <f>AG$5*('BNVP-HDVs-psgr'!AG$8/'BNVP-HDVs-psgr'!AG$5)</f>
        <v>8747452.0098511875</v>
      </c>
      <c r="AH8" s="4"/>
      <c r="AI8" s="4"/>
      <c r="AJ8" s="24"/>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codeName="Sheet34">
    <tabColor theme="3"/>
  </sheetPr>
  <dimension ref="A1:AJ8"/>
  <sheetViews>
    <sheetView workbookViewId="0"/>
  </sheetViews>
  <sheetFormatPr defaultRowHeight="14.5" x14ac:dyDescent="0.35"/>
  <cols>
    <col min="1" max="1" width="24.36328125"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4">
        <f>B4*('BNVP-LDVs-psgr'!B2/'BNVP-LDVs-psgr'!B4)</f>
        <v>10062.018222656672</v>
      </c>
      <c r="C2" s="4">
        <f>C4*('BNVP-LDVs-psgr'!C2/'BNVP-LDVs-psgr'!C4)</f>
        <v>9678.3187101240401</v>
      </c>
      <c r="D2" s="4">
        <f>D4*('BNVP-LDVs-psgr'!C2/'BNVP-LDVs-psgr'!C4)</f>
        <v>9678.3187101240401</v>
      </c>
      <c r="E2" s="4">
        <f>E4*('BNVP-LDVs-psgr'!E2/'BNVP-LDVs-psgr'!E4)</f>
        <v>9285.3158093413786</v>
      </c>
      <c r="F2" s="4">
        <f>F4*('BNVP-LDVs-psgr'!F2/'BNVP-LDVs-psgr'!F4)</f>
        <v>9206.7856165683461</v>
      </c>
      <c r="G2" s="4">
        <f>G4*('BNVP-LDVs-psgr'!G2/'BNVP-LDVs-psgr'!G4)</f>
        <v>9151.6018535382791</v>
      </c>
      <c r="H2" s="4">
        <f>H4*('BNVP-LDVs-psgr'!H2/'BNVP-LDVs-psgr'!H4)</f>
        <v>9090.2158912341965</v>
      </c>
      <c r="I2" s="4">
        <f>I4*('BNVP-LDVs-psgr'!I2/'BNVP-LDVs-psgr'!I4)</f>
        <v>9039.1981492059331</v>
      </c>
      <c r="J2" s="4">
        <f>J4*('BNVP-LDVs-psgr'!J2/'BNVP-LDVs-psgr'!J4)</f>
        <v>8989.8737892037152</v>
      </c>
      <c r="K2" s="4">
        <f>K4*('BNVP-LDVs-psgr'!K2/'BNVP-LDVs-psgr'!K4)</f>
        <v>8943.9109141854442</v>
      </c>
      <c r="L2" s="4">
        <f>L4*('BNVP-LDVs-psgr'!L2/'BNVP-LDVs-psgr'!L4)</f>
        <v>8901.9810223698387</v>
      </c>
      <c r="M2" s="4">
        <f>M4*('BNVP-LDVs-psgr'!M2/'BNVP-LDVs-psgr'!M4)</f>
        <v>8864.5967534467763</v>
      </c>
      <c r="N2" s="4">
        <f>N4*('BNVP-LDVs-psgr'!N2/'BNVP-LDVs-psgr'!N4)</f>
        <v>8836.90753413532</v>
      </c>
      <c r="O2" s="4">
        <f>O4*('BNVP-LDVs-psgr'!O2/'BNVP-LDVs-psgr'!O4)</f>
        <v>8803.1555150034528</v>
      </c>
      <c r="P2" s="4">
        <f>P4*('BNVP-LDVs-psgr'!P2/'BNVP-LDVs-psgr'!P4)</f>
        <v>8779.7686216778566</v>
      </c>
      <c r="Q2" s="4">
        <f>Q4*('BNVP-LDVs-psgr'!Q2/'BNVP-LDVs-psgr'!Q4)</f>
        <v>8757.5062394349716</v>
      </c>
      <c r="R2" s="4">
        <f>R4*('BNVP-LDVs-psgr'!R2/'BNVP-LDVs-psgr'!R4)</f>
        <v>8738.8487660198371</v>
      </c>
      <c r="S2" s="4">
        <f>S4*('BNVP-LDVs-psgr'!S2/'BNVP-LDVs-psgr'!S4)</f>
        <v>8722.6294075998303</v>
      </c>
      <c r="T2" s="4">
        <f>T4*('BNVP-LDVs-psgr'!T2/'BNVP-LDVs-psgr'!T4)</f>
        <v>8708.5572075183645</v>
      </c>
      <c r="U2" s="4">
        <f>U4*('BNVP-LDVs-psgr'!U2/'BNVP-LDVs-psgr'!U4)</f>
        <v>8696.677965079416</v>
      </c>
      <c r="V2" s="4">
        <f>V4*('BNVP-LDVs-psgr'!V2/'BNVP-LDVs-psgr'!V4)</f>
        <v>8685.4893047242149</v>
      </c>
      <c r="W2" s="4">
        <f>W4*('BNVP-LDVs-psgr'!W2/'BNVP-LDVs-psgr'!W4)</f>
        <v>8676.3938097084701</v>
      </c>
      <c r="X2" s="4">
        <f>X4*('BNVP-LDVs-psgr'!X2/'BNVP-LDVs-psgr'!X4)</f>
        <v>8667.7006655146324</v>
      </c>
      <c r="Y2" s="4">
        <f>Y4*('BNVP-LDVs-psgr'!Y2/'BNVP-LDVs-psgr'!Y4)</f>
        <v>8659.9184138729288</v>
      </c>
      <c r="Z2" s="4">
        <f>Z4*('BNVP-LDVs-psgr'!Z2/'BNVP-LDVs-psgr'!Z4)</f>
        <v>8653.3775676666046</v>
      </c>
      <c r="AA2" s="4">
        <f>AA4*('BNVP-LDVs-psgr'!AA2/'BNVP-LDVs-psgr'!AA4)</f>
        <v>8646.9944700451524</v>
      </c>
      <c r="AB2" s="4">
        <f>AB4*('BNVP-LDVs-psgr'!AB2/'BNVP-LDVs-psgr'!AB4)</f>
        <v>8641.053681295245</v>
      </c>
      <c r="AC2" s="4">
        <f>AC4*('BNVP-LDVs-psgr'!AC2/'BNVP-LDVs-psgr'!AC4)</f>
        <v>8635.8461579325558</v>
      </c>
      <c r="AD2" s="4">
        <f>AD4*('BNVP-LDVs-psgr'!AD2/'BNVP-LDVs-psgr'!AD4)</f>
        <v>8630.6231131109907</v>
      </c>
      <c r="AE2" s="4">
        <f>AE4*('BNVP-LDVs-psgr'!AE2/'BNVP-LDVs-psgr'!AE4)</f>
        <v>8625.8209951939498</v>
      </c>
      <c r="AF2" s="4">
        <f>AF4*('BNVP-LDVs-psgr'!AF2/'BNVP-LDVs-psgr'!AF4)</f>
        <v>8621.6330331873887</v>
      </c>
      <c r="AG2" s="4">
        <f>AG4*('BNVP-LDVs-psgr'!AG2/'BNVP-LDVs-psgr'!AG4)</f>
        <v>8617.7870454742351</v>
      </c>
      <c r="AH2" s="4"/>
      <c r="AI2" s="4"/>
      <c r="AJ2" s="4"/>
    </row>
    <row r="3" spans="1:36" x14ac:dyDescent="0.3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35">
      <c r="A4" t="s">
        <v>2</v>
      </c>
      <c r="B4" s="12">
        <f>AVERAGE(Motorbikes!C3:C12)</f>
        <v>8980</v>
      </c>
      <c r="C4">
        <f>$B4</f>
        <v>8980</v>
      </c>
      <c r="D4">
        <f t="shared" ref="D4:AG4" si="0">$B4</f>
        <v>8980</v>
      </c>
      <c r="E4">
        <f t="shared" si="0"/>
        <v>8980</v>
      </c>
      <c r="F4">
        <f t="shared" si="0"/>
        <v>8980</v>
      </c>
      <c r="G4">
        <f t="shared" si="0"/>
        <v>8980</v>
      </c>
      <c r="H4">
        <f t="shared" si="0"/>
        <v>8980</v>
      </c>
      <c r="I4">
        <f t="shared" si="0"/>
        <v>8980</v>
      </c>
      <c r="J4">
        <f t="shared" si="0"/>
        <v>8980</v>
      </c>
      <c r="K4">
        <f t="shared" si="0"/>
        <v>8980</v>
      </c>
      <c r="L4">
        <f t="shared" si="0"/>
        <v>8980</v>
      </c>
      <c r="M4">
        <f t="shared" si="0"/>
        <v>8980</v>
      </c>
      <c r="N4">
        <f t="shared" si="0"/>
        <v>8980</v>
      </c>
      <c r="O4">
        <f t="shared" si="0"/>
        <v>8980</v>
      </c>
      <c r="P4">
        <f t="shared" si="0"/>
        <v>8980</v>
      </c>
      <c r="Q4">
        <f t="shared" si="0"/>
        <v>8980</v>
      </c>
      <c r="R4">
        <f t="shared" si="0"/>
        <v>8980</v>
      </c>
      <c r="S4">
        <f t="shared" si="0"/>
        <v>8980</v>
      </c>
      <c r="T4">
        <f t="shared" si="0"/>
        <v>8980</v>
      </c>
      <c r="U4">
        <f t="shared" si="0"/>
        <v>8980</v>
      </c>
      <c r="V4">
        <f t="shared" si="0"/>
        <v>8980</v>
      </c>
      <c r="W4">
        <f t="shared" si="0"/>
        <v>8980</v>
      </c>
      <c r="X4">
        <f t="shared" si="0"/>
        <v>8980</v>
      </c>
      <c r="Y4">
        <f t="shared" si="0"/>
        <v>8980</v>
      </c>
      <c r="Z4">
        <f t="shared" si="0"/>
        <v>8980</v>
      </c>
      <c r="AA4">
        <f t="shared" si="0"/>
        <v>8980</v>
      </c>
      <c r="AB4">
        <f t="shared" si="0"/>
        <v>8980</v>
      </c>
      <c r="AC4">
        <f t="shared" si="0"/>
        <v>8980</v>
      </c>
      <c r="AD4">
        <f t="shared" si="0"/>
        <v>8980</v>
      </c>
      <c r="AE4">
        <f t="shared" si="0"/>
        <v>8980</v>
      </c>
      <c r="AF4">
        <f t="shared" si="0"/>
        <v>8980</v>
      </c>
      <c r="AG4">
        <f t="shared" si="0"/>
        <v>8980</v>
      </c>
    </row>
    <row r="5" spans="1:36" x14ac:dyDescent="0.35">
      <c r="A5" t="s">
        <v>3</v>
      </c>
      <c r="B5">
        <v>0</v>
      </c>
      <c r="C5">
        <v>0</v>
      </c>
      <c r="D5">
        <v>0</v>
      </c>
      <c r="E5">
        <v>0</v>
      </c>
      <c r="F5">
        <v>0</v>
      </c>
      <c r="G5">
        <v>0</v>
      </c>
      <c r="H5">
        <v>0</v>
      </c>
      <c r="I5">
        <v>0</v>
      </c>
      <c r="J5">
        <v>0</v>
      </c>
      <c r="K5">
        <v>0</v>
      </c>
      <c r="L5">
        <v>0</v>
      </c>
      <c r="M5">
        <v>0</v>
      </c>
      <c r="N5">
        <v>0</v>
      </c>
      <c r="O5">
        <v>0</v>
      </c>
      <c r="P5">
        <v>0</v>
      </c>
      <c r="Q5">
        <v>0</v>
      </c>
      <c r="R5">
        <v>0</v>
      </c>
      <c r="S5">
        <v>0</v>
      </c>
      <c r="T5">
        <v>0</v>
      </c>
      <c r="U5">
        <v>0</v>
      </c>
      <c r="V5">
        <v>0</v>
      </c>
      <c r="W5">
        <v>0</v>
      </c>
      <c r="X5">
        <v>0</v>
      </c>
      <c r="Y5">
        <v>0</v>
      </c>
      <c r="Z5">
        <v>0</v>
      </c>
      <c r="AA5">
        <v>0</v>
      </c>
      <c r="AB5">
        <v>0</v>
      </c>
      <c r="AC5">
        <v>0</v>
      </c>
      <c r="AD5">
        <v>0</v>
      </c>
      <c r="AE5">
        <v>0</v>
      </c>
      <c r="AF5">
        <v>0</v>
      </c>
      <c r="AG5">
        <v>0</v>
      </c>
    </row>
    <row r="6" spans="1:36" x14ac:dyDescent="0.3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3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35">
      <c r="A8" s="5" t="s">
        <v>566</v>
      </c>
      <c r="B8">
        <v>0</v>
      </c>
      <c r="C8">
        <v>0</v>
      </c>
      <c r="D8">
        <v>0</v>
      </c>
      <c r="E8">
        <v>0</v>
      </c>
      <c r="F8">
        <v>0</v>
      </c>
      <c r="G8">
        <v>0</v>
      </c>
      <c r="H8">
        <v>0</v>
      </c>
      <c r="I8">
        <v>0</v>
      </c>
      <c r="J8">
        <v>0</v>
      </c>
      <c r="K8">
        <v>0</v>
      </c>
      <c r="L8">
        <v>0</v>
      </c>
      <c r="M8">
        <v>0</v>
      </c>
      <c r="N8">
        <v>0</v>
      </c>
      <c r="O8">
        <v>0</v>
      </c>
      <c r="P8">
        <v>0</v>
      </c>
      <c r="Q8">
        <v>0</v>
      </c>
      <c r="R8">
        <v>0</v>
      </c>
      <c r="S8">
        <v>0</v>
      </c>
      <c r="T8">
        <v>0</v>
      </c>
      <c r="U8">
        <v>0</v>
      </c>
      <c r="V8">
        <v>0</v>
      </c>
      <c r="W8">
        <v>0</v>
      </c>
      <c r="X8">
        <v>0</v>
      </c>
      <c r="Y8">
        <v>0</v>
      </c>
      <c r="Z8">
        <v>0</v>
      </c>
      <c r="AA8">
        <v>0</v>
      </c>
      <c r="AB8">
        <v>0</v>
      </c>
      <c r="AC8">
        <v>0</v>
      </c>
      <c r="AD8">
        <v>0</v>
      </c>
      <c r="AE8">
        <v>0</v>
      </c>
      <c r="AF8">
        <v>0</v>
      </c>
      <c r="AG8">
        <v>0</v>
      </c>
      <c r="AH8"/>
      <c r="AI8"/>
      <c r="AJ8" s="24"/>
    </row>
  </sheetData>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codeName="Sheet35">
    <tabColor theme="3"/>
  </sheetPr>
  <dimension ref="A1:AJ8"/>
  <sheetViews>
    <sheetView tabSelected="1" topLeftCell="S1" workbookViewId="0">
      <selection activeCell="B2" sqref="B2:AG8"/>
    </sheetView>
  </sheetViews>
  <sheetFormatPr defaultRowHeight="14.5" x14ac:dyDescent="0.35"/>
  <cols>
    <col min="1" max="1" width="24.36328125" customWidth="1"/>
    <col min="2" max="2" width="12.08984375" bestFit="1" customWidth="1"/>
  </cols>
  <sheetData>
    <row r="1" spans="1:36" x14ac:dyDescent="0.3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35">
      <c r="A2" t="s">
        <v>0</v>
      </c>
      <c r="B2" s="68">
        <f>C2</f>
        <v>233859.45039052292</v>
      </c>
      <c r="C2" s="68">
        <f>'HDV frt'!B12</f>
        <v>233859.45039052292</v>
      </c>
      <c r="D2" s="68">
        <f>'HDV frt'!C12</f>
        <v>209948.10145779976</v>
      </c>
      <c r="E2" s="68">
        <f>'HDV frt'!D12</f>
        <v>194405.32300298926</v>
      </c>
      <c r="F2" s="68">
        <f>'HDV frt'!E12</f>
        <v>183234.648295088</v>
      </c>
      <c r="G2" s="68">
        <f>'HDV frt'!F12</f>
        <v>174479.22014363212</v>
      </c>
      <c r="H2" s="68">
        <f>'HDV frt'!G12</f>
        <v>167998.65282068125</v>
      </c>
      <c r="I2" s="68">
        <f>'HDV frt'!H12</f>
        <v>162504.99333992691</v>
      </c>
      <c r="J2" s="68">
        <f>'HDV frt'!I12</f>
        <v>157699.61919924716</v>
      </c>
      <c r="K2" s="68">
        <f>'HDV frt'!J12</f>
        <v>153568.50457659518</v>
      </c>
      <c r="L2" s="68">
        <f>'HDV frt'!K12</f>
        <v>149964.63335542681</v>
      </c>
      <c r="M2" s="68">
        <f>'HDV frt'!L12</f>
        <v>146784.21445259621</v>
      </c>
      <c r="N2" s="68">
        <f>'HDV frt'!M12</f>
        <v>143967.06434077575</v>
      </c>
      <c r="O2" s="68">
        <f>'HDV frt'!N12</f>
        <v>141499.28470539174</v>
      </c>
      <c r="P2" s="68">
        <f>'HDV frt'!O12</f>
        <v>139365.70215713917</v>
      </c>
      <c r="Q2" s="68">
        <f>'HDV frt'!P12</f>
        <v>137510.21340783112</v>
      </c>
      <c r="R2" s="68">
        <f>'HDV frt'!Q12</f>
        <v>135888.31834933755</v>
      </c>
      <c r="S2" s="68">
        <f>'HDV frt'!R12</f>
        <v>134438.55837959918</v>
      </c>
      <c r="T2" s="68">
        <f>'HDV frt'!S12</f>
        <v>133167.56388721999</v>
      </c>
      <c r="U2" s="68">
        <f>'HDV frt'!T12</f>
        <v>132042.69295907297</v>
      </c>
      <c r="V2" s="68">
        <f>'HDV frt'!U12</f>
        <v>131033.21629412849</v>
      </c>
      <c r="W2" s="68">
        <f>'HDV frt'!V12</f>
        <v>130116.69257711184</v>
      </c>
      <c r="X2" s="68">
        <f>'HDV frt'!W12</f>
        <v>129299.75219662691</v>
      </c>
      <c r="Y2" s="68">
        <f>'HDV frt'!X12</f>
        <v>128564.79912137876</v>
      </c>
      <c r="Z2" s="68">
        <f>'HDV frt'!Y12</f>
        <v>127900.10266383732</v>
      </c>
      <c r="AA2" s="68">
        <f>'HDV frt'!Z12</f>
        <v>127296.09976351626</v>
      </c>
      <c r="AB2" s="68">
        <f>'HDV frt'!AA12</f>
        <v>126744.62994213382</v>
      </c>
      <c r="AC2" s="68">
        <f>'HDV frt'!AB12</f>
        <v>126240.08287087131</v>
      </c>
      <c r="AD2" s="68">
        <f>'HDV frt'!AC12</f>
        <v>125775.44563870538</v>
      </c>
      <c r="AE2" s="68">
        <f>'HDV frt'!AD12</f>
        <v>125345.74545418311</v>
      </c>
      <c r="AF2" s="68">
        <f>'HDV frt'!AE12</f>
        <v>124947.02958563679</v>
      </c>
      <c r="AG2" s="68">
        <f>'HDV frt'!AF12</f>
        <v>124575.85533129128</v>
      </c>
    </row>
    <row r="3" spans="1:36" x14ac:dyDescent="0.35">
      <c r="A3" t="s">
        <v>1</v>
      </c>
      <c r="B3" s="68">
        <f t="shared" ref="B3:B8" si="0">C3</f>
        <v>123257.22404694246</v>
      </c>
      <c r="C3" s="68">
        <f>'HDV frt'!B13</f>
        <v>123257.22404694246</v>
      </c>
      <c r="D3" s="68">
        <f>'HDV frt'!C13</f>
        <v>123257.22404694246</v>
      </c>
      <c r="E3" s="68">
        <f>'HDV frt'!D13</f>
        <v>123257.22404694246</v>
      </c>
      <c r="F3" s="68">
        <f>'HDV frt'!E13</f>
        <v>123257.22404694246</v>
      </c>
      <c r="G3" s="68">
        <f>'HDV frt'!F13</f>
        <v>131843.57728899876</v>
      </c>
      <c r="H3" s="68">
        <f>'HDV frt'!G13</f>
        <v>140429.93053105508</v>
      </c>
      <c r="I3" s="68">
        <f>'HDV frt'!H13</f>
        <v>149016.28377311138</v>
      </c>
      <c r="J3" s="68">
        <f>'HDV frt'!I13</f>
        <v>159592.60364616007</v>
      </c>
      <c r="K3" s="68">
        <f>'HDV frt'!J13</f>
        <v>170168.92351920874</v>
      </c>
      <c r="L3" s="68">
        <f>'HDV frt'!K13</f>
        <v>180745.24339225743</v>
      </c>
      <c r="M3" s="68">
        <f>'HDV frt'!L13</f>
        <v>191321.56326530609</v>
      </c>
      <c r="N3" s="68">
        <f>'HDV frt'!M13</f>
        <v>191321.56326530609</v>
      </c>
      <c r="O3" s="68">
        <f>'HDV frt'!N13</f>
        <v>191321.56326530609</v>
      </c>
      <c r="P3" s="68">
        <f>'HDV frt'!O13</f>
        <v>191321.56326530609</v>
      </c>
      <c r="Q3" s="68">
        <f>'HDV frt'!P13</f>
        <v>191321.56326530609</v>
      </c>
      <c r="R3" s="68">
        <f>'HDV frt'!Q13</f>
        <v>191321.56326530609</v>
      </c>
      <c r="S3" s="68">
        <f>'HDV frt'!R13</f>
        <v>191321.56326530609</v>
      </c>
      <c r="T3" s="68">
        <f>'HDV frt'!S13</f>
        <v>191321.56326530609</v>
      </c>
      <c r="U3" s="68">
        <f>'HDV frt'!T13</f>
        <v>191321.56326530609</v>
      </c>
      <c r="V3" s="68">
        <f>'HDV frt'!U13</f>
        <v>191321.56326530609</v>
      </c>
      <c r="W3" s="68">
        <f>'HDV frt'!V13</f>
        <v>191321.56326530609</v>
      </c>
      <c r="X3" s="68">
        <f>'HDV frt'!W13</f>
        <v>191321.56326530609</v>
      </c>
      <c r="Y3" s="68">
        <f>'HDV frt'!X13</f>
        <v>191321.56326530609</v>
      </c>
      <c r="Z3" s="68">
        <f>'HDV frt'!Y13</f>
        <v>191321.56326530609</v>
      </c>
      <c r="AA3" s="68">
        <f>'HDV frt'!Z13</f>
        <v>191321.56326530609</v>
      </c>
      <c r="AB3" s="68">
        <f>'HDV frt'!AA13</f>
        <v>191321.56326530609</v>
      </c>
      <c r="AC3" s="68">
        <f>'HDV frt'!AB13</f>
        <v>191321.56326530609</v>
      </c>
      <c r="AD3" s="68">
        <f>'HDV frt'!AC13</f>
        <v>191321.56326530609</v>
      </c>
      <c r="AE3" s="68">
        <f>'HDV frt'!AD13</f>
        <v>191321.56326530609</v>
      </c>
      <c r="AF3" s="68">
        <f>'HDV frt'!AE13</f>
        <v>191321.56326530609</v>
      </c>
      <c r="AG3" s="68">
        <f>'HDV frt'!AF13</f>
        <v>191321.56326530609</v>
      </c>
    </row>
    <row r="4" spans="1:36" x14ac:dyDescent="0.35">
      <c r="A4" t="s">
        <v>2</v>
      </c>
      <c r="B4" s="68">
        <f t="shared" si="0"/>
        <v>999999</v>
      </c>
      <c r="C4" s="68">
        <f>'HDV frt'!B14</f>
        <v>999999</v>
      </c>
      <c r="D4" s="68">
        <f>'HDV frt'!C14</f>
        <v>999999</v>
      </c>
      <c r="E4" s="68">
        <f>'HDV frt'!D14</f>
        <v>999999</v>
      </c>
      <c r="F4" s="68">
        <f>'HDV frt'!E14</f>
        <v>999999</v>
      </c>
      <c r="G4" s="68">
        <f>'HDV frt'!F14</f>
        <v>999999</v>
      </c>
      <c r="H4" s="68">
        <f>'HDV frt'!G14</f>
        <v>999999</v>
      </c>
      <c r="I4" s="68">
        <f>'HDV frt'!H14</f>
        <v>999999</v>
      </c>
      <c r="J4" s="68">
        <f>'HDV frt'!I14</f>
        <v>999999</v>
      </c>
      <c r="K4" s="68">
        <f>'HDV frt'!J14</f>
        <v>999999</v>
      </c>
      <c r="L4" s="68">
        <f>'HDV frt'!K14</f>
        <v>999999</v>
      </c>
      <c r="M4" s="68">
        <f>'HDV frt'!L14</f>
        <v>999999</v>
      </c>
      <c r="N4" s="68">
        <f>'HDV frt'!M14</f>
        <v>999999</v>
      </c>
      <c r="O4" s="68">
        <f>'HDV frt'!N14</f>
        <v>999999</v>
      </c>
      <c r="P4" s="68">
        <f>'HDV frt'!O14</f>
        <v>999999</v>
      </c>
      <c r="Q4" s="68">
        <f>'HDV frt'!P14</f>
        <v>999999</v>
      </c>
      <c r="R4" s="68">
        <f>'HDV frt'!Q14</f>
        <v>999999</v>
      </c>
      <c r="S4" s="68">
        <f>'HDV frt'!R14</f>
        <v>999999</v>
      </c>
      <c r="T4" s="68">
        <f>'HDV frt'!S14</f>
        <v>999999</v>
      </c>
      <c r="U4" s="68">
        <f>'HDV frt'!T14</f>
        <v>999999</v>
      </c>
      <c r="V4" s="68">
        <f>'HDV frt'!U14</f>
        <v>999999</v>
      </c>
      <c r="W4" s="68">
        <f>'HDV frt'!V14</f>
        <v>999999</v>
      </c>
      <c r="X4" s="68">
        <f>'HDV frt'!W14</f>
        <v>999999</v>
      </c>
      <c r="Y4" s="68">
        <f>'HDV frt'!X14</f>
        <v>999999</v>
      </c>
      <c r="Z4" s="68">
        <f>'HDV frt'!Y14</f>
        <v>999999</v>
      </c>
      <c r="AA4" s="68">
        <f>'HDV frt'!Z14</f>
        <v>999999</v>
      </c>
      <c r="AB4" s="68">
        <f>'HDV frt'!AA14</f>
        <v>999999</v>
      </c>
      <c r="AC4" s="68">
        <f>'HDV frt'!AB14</f>
        <v>999999</v>
      </c>
      <c r="AD4" s="68">
        <f>'HDV frt'!AC14</f>
        <v>999999</v>
      </c>
      <c r="AE4" s="68">
        <f>'HDV frt'!AD14</f>
        <v>999999</v>
      </c>
      <c r="AF4" s="68">
        <f>'HDV frt'!AE14</f>
        <v>999999</v>
      </c>
      <c r="AG4" s="68">
        <f>'HDV frt'!AF14</f>
        <v>999999</v>
      </c>
    </row>
    <row r="5" spans="1:36" x14ac:dyDescent="0.35">
      <c r="A5" t="s">
        <v>3</v>
      </c>
      <c r="B5" s="68">
        <f t="shared" si="0"/>
        <v>123257.22404694246</v>
      </c>
      <c r="C5" s="68">
        <f>'HDV frt'!B15</f>
        <v>123257.22404694246</v>
      </c>
      <c r="D5" s="68">
        <f>'HDV frt'!C15</f>
        <v>123257.22404694246</v>
      </c>
      <c r="E5" s="68">
        <f>'HDV frt'!D15</f>
        <v>123257.22404694246</v>
      </c>
      <c r="F5" s="68">
        <f>'HDV frt'!E15</f>
        <v>123257.22404694246</v>
      </c>
      <c r="G5" s="68">
        <f>'HDV frt'!F15</f>
        <v>131843.57728899876</v>
      </c>
      <c r="H5" s="68">
        <f>'HDV frt'!G15</f>
        <v>140429.93053105508</v>
      </c>
      <c r="I5" s="68">
        <f>'HDV frt'!H15</f>
        <v>149016.28377311138</v>
      </c>
      <c r="J5" s="68">
        <f>'HDV frt'!I15</f>
        <v>159592.60364616007</v>
      </c>
      <c r="K5" s="68">
        <f>'HDV frt'!J15</f>
        <v>170168.92351920874</v>
      </c>
      <c r="L5" s="68">
        <f>'HDV frt'!K15</f>
        <v>180745.24339225743</v>
      </c>
      <c r="M5" s="68">
        <f>'HDV frt'!L15</f>
        <v>191321.56326530609</v>
      </c>
      <c r="N5" s="68">
        <f>'HDV frt'!M15</f>
        <v>191321.56326530609</v>
      </c>
      <c r="O5" s="68">
        <f>'HDV frt'!N15</f>
        <v>191321.56326530609</v>
      </c>
      <c r="P5" s="68">
        <f>'HDV frt'!O15</f>
        <v>191321.56326530609</v>
      </c>
      <c r="Q5" s="68">
        <f>'HDV frt'!P15</f>
        <v>191321.56326530609</v>
      </c>
      <c r="R5" s="68">
        <f>'HDV frt'!Q15</f>
        <v>191321.56326530609</v>
      </c>
      <c r="S5" s="68">
        <f>'HDV frt'!R15</f>
        <v>191321.56326530609</v>
      </c>
      <c r="T5" s="68">
        <f>'HDV frt'!S15</f>
        <v>191321.56326530609</v>
      </c>
      <c r="U5" s="68">
        <f>'HDV frt'!T15</f>
        <v>191321.56326530609</v>
      </c>
      <c r="V5" s="68">
        <f>'HDV frt'!U15</f>
        <v>191321.56326530609</v>
      </c>
      <c r="W5" s="68">
        <f>'HDV frt'!V15</f>
        <v>191321.56326530609</v>
      </c>
      <c r="X5" s="68">
        <f>'HDV frt'!W15</f>
        <v>191321.56326530609</v>
      </c>
      <c r="Y5" s="68">
        <f>'HDV frt'!X15</f>
        <v>191321.56326530609</v>
      </c>
      <c r="Z5" s="68">
        <f>'HDV frt'!Y15</f>
        <v>191321.56326530609</v>
      </c>
      <c r="AA5" s="68">
        <f>'HDV frt'!Z15</f>
        <v>191321.56326530609</v>
      </c>
      <c r="AB5" s="68">
        <f>'HDV frt'!AA15</f>
        <v>191321.56326530609</v>
      </c>
      <c r="AC5" s="68">
        <f>'HDV frt'!AB15</f>
        <v>191321.56326530609</v>
      </c>
      <c r="AD5" s="68">
        <f>'HDV frt'!AC15</f>
        <v>191321.56326530609</v>
      </c>
      <c r="AE5" s="68">
        <f>'HDV frt'!AD15</f>
        <v>191321.56326530609</v>
      </c>
      <c r="AF5" s="68">
        <f>'HDV frt'!AE15</f>
        <v>191321.56326530609</v>
      </c>
      <c r="AG5" s="68">
        <f>'HDV frt'!AF15</f>
        <v>191321.56326530609</v>
      </c>
    </row>
    <row r="6" spans="1:36" x14ac:dyDescent="0.35">
      <c r="A6" t="s">
        <v>4</v>
      </c>
      <c r="B6" s="68">
        <f t="shared" si="0"/>
        <v>999999</v>
      </c>
      <c r="C6" s="68">
        <f>'HDV frt'!B16</f>
        <v>999999</v>
      </c>
      <c r="D6" s="68">
        <f>'HDV frt'!C16</f>
        <v>999999</v>
      </c>
      <c r="E6" s="68">
        <f>'HDV frt'!D16</f>
        <v>999999</v>
      </c>
      <c r="F6" s="68">
        <f>'HDV frt'!E16</f>
        <v>999999</v>
      </c>
      <c r="G6" s="68">
        <f>'HDV frt'!F16</f>
        <v>999999</v>
      </c>
      <c r="H6" s="68">
        <f>'HDV frt'!G16</f>
        <v>999999</v>
      </c>
      <c r="I6" s="68">
        <f>'HDV frt'!H16</f>
        <v>999999</v>
      </c>
      <c r="J6" s="68">
        <f>'HDV frt'!I16</f>
        <v>999999</v>
      </c>
      <c r="K6" s="68">
        <f>'HDV frt'!J16</f>
        <v>999999</v>
      </c>
      <c r="L6" s="68">
        <f>'HDV frt'!K16</f>
        <v>999999</v>
      </c>
      <c r="M6" s="68">
        <f>'HDV frt'!L16</f>
        <v>999999</v>
      </c>
      <c r="N6" s="68">
        <f>'HDV frt'!M16</f>
        <v>999999</v>
      </c>
      <c r="O6" s="68">
        <f>'HDV frt'!N16</f>
        <v>999999</v>
      </c>
      <c r="P6" s="68">
        <f>'HDV frt'!O16</f>
        <v>999999</v>
      </c>
      <c r="Q6" s="68">
        <f>'HDV frt'!P16</f>
        <v>999999</v>
      </c>
      <c r="R6" s="68">
        <f>'HDV frt'!Q16</f>
        <v>999999</v>
      </c>
      <c r="S6" s="68">
        <f>'HDV frt'!R16</f>
        <v>999999</v>
      </c>
      <c r="T6" s="68">
        <f>'HDV frt'!S16</f>
        <v>999999</v>
      </c>
      <c r="U6" s="68">
        <f>'HDV frt'!T16</f>
        <v>999999</v>
      </c>
      <c r="V6" s="68">
        <f>'HDV frt'!U16</f>
        <v>999999</v>
      </c>
      <c r="W6" s="68">
        <f>'HDV frt'!V16</f>
        <v>999999</v>
      </c>
      <c r="X6" s="68">
        <f>'HDV frt'!W16</f>
        <v>999999</v>
      </c>
      <c r="Y6" s="68">
        <f>'HDV frt'!X16</f>
        <v>999999</v>
      </c>
      <c r="Z6" s="68">
        <f>'HDV frt'!Y16</f>
        <v>999999</v>
      </c>
      <c r="AA6" s="68">
        <f>'HDV frt'!Z16</f>
        <v>999999</v>
      </c>
      <c r="AB6" s="68">
        <f>'HDV frt'!AA16</f>
        <v>999999</v>
      </c>
      <c r="AC6" s="68">
        <f>'HDV frt'!AB16</f>
        <v>999999</v>
      </c>
      <c r="AD6" s="68">
        <f>'HDV frt'!AC16</f>
        <v>999999</v>
      </c>
      <c r="AE6" s="68">
        <f>'HDV frt'!AD16</f>
        <v>999999</v>
      </c>
      <c r="AF6" s="68">
        <f>'HDV frt'!AE16</f>
        <v>999999</v>
      </c>
      <c r="AG6" s="68">
        <f>'HDV frt'!AF16</f>
        <v>999999</v>
      </c>
    </row>
    <row r="7" spans="1:36" s="5" customFormat="1" x14ac:dyDescent="0.35">
      <c r="A7" s="5" t="s">
        <v>565</v>
      </c>
      <c r="B7" s="68">
        <f t="shared" si="0"/>
        <v>999999</v>
      </c>
      <c r="C7" s="68">
        <f>'HDV frt'!B17</f>
        <v>999999</v>
      </c>
      <c r="D7" s="68">
        <f>'HDV frt'!C17</f>
        <v>999999</v>
      </c>
      <c r="E7" s="68">
        <f>'HDV frt'!D17</f>
        <v>999999</v>
      </c>
      <c r="F7" s="68">
        <f>'HDV frt'!E17</f>
        <v>999999</v>
      </c>
      <c r="G7" s="68">
        <f>'HDV frt'!F17</f>
        <v>999999</v>
      </c>
      <c r="H7" s="68">
        <f>'HDV frt'!G17</f>
        <v>999999</v>
      </c>
      <c r="I7" s="68">
        <f>'HDV frt'!H17</f>
        <v>999999</v>
      </c>
      <c r="J7" s="68">
        <f>'HDV frt'!I17</f>
        <v>999999</v>
      </c>
      <c r="K7" s="68">
        <f>'HDV frt'!J17</f>
        <v>999999</v>
      </c>
      <c r="L7" s="68">
        <f>'HDV frt'!K17</f>
        <v>999999</v>
      </c>
      <c r="M7" s="68">
        <f>'HDV frt'!L17</f>
        <v>999999</v>
      </c>
      <c r="N7" s="68">
        <f>'HDV frt'!M17</f>
        <v>999999</v>
      </c>
      <c r="O7" s="68">
        <f>'HDV frt'!N17</f>
        <v>999999</v>
      </c>
      <c r="P7" s="68">
        <f>'HDV frt'!O17</f>
        <v>999999</v>
      </c>
      <c r="Q7" s="68">
        <f>'HDV frt'!P17</f>
        <v>999999</v>
      </c>
      <c r="R7" s="68">
        <f>'HDV frt'!Q17</f>
        <v>999999</v>
      </c>
      <c r="S7" s="68">
        <f>'HDV frt'!R17</f>
        <v>999999</v>
      </c>
      <c r="T7" s="68">
        <f>'HDV frt'!S17</f>
        <v>999999</v>
      </c>
      <c r="U7" s="68">
        <f>'HDV frt'!T17</f>
        <v>999999</v>
      </c>
      <c r="V7" s="68">
        <f>'HDV frt'!U17</f>
        <v>999999</v>
      </c>
      <c r="W7" s="68">
        <f>'HDV frt'!V17</f>
        <v>999999</v>
      </c>
      <c r="X7" s="68">
        <f>'HDV frt'!W17</f>
        <v>999999</v>
      </c>
      <c r="Y7" s="68">
        <f>'HDV frt'!X17</f>
        <v>999999</v>
      </c>
      <c r="Z7" s="68">
        <f>'HDV frt'!Y17</f>
        <v>999999</v>
      </c>
      <c r="AA7" s="68">
        <f>'HDV frt'!Z17</f>
        <v>999999</v>
      </c>
      <c r="AB7" s="68">
        <f>'HDV frt'!AA17</f>
        <v>999999</v>
      </c>
      <c r="AC7" s="68">
        <f>'HDV frt'!AB17</f>
        <v>999999</v>
      </c>
      <c r="AD7" s="68">
        <f>'HDV frt'!AC17</f>
        <v>999999</v>
      </c>
      <c r="AE7" s="68">
        <f>'HDV frt'!AD17</f>
        <v>999999</v>
      </c>
      <c r="AF7" s="68">
        <f>'HDV frt'!AE17</f>
        <v>999999</v>
      </c>
      <c r="AG7" s="68">
        <f>'HDV frt'!AF17</f>
        <v>999999</v>
      </c>
      <c r="AH7"/>
      <c r="AI7"/>
      <c r="AJ7" s="24"/>
    </row>
    <row r="8" spans="1:36" s="5" customFormat="1" x14ac:dyDescent="0.35">
      <c r="A8" s="5" t="s">
        <v>566</v>
      </c>
      <c r="B8" s="68">
        <f t="shared" si="0"/>
        <v>300676.43621638662</v>
      </c>
      <c r="C8" s="68">
        <f>'HDV frt'!B18</f>
        <v>300676.43621638662</v>
      </c>
      <c r="D8" s="68">
        <f>'HDV frt'!C18</f>
        <v>260619.67748916466</v>
      </c>
      <c r="E8" s="68">
        <f>'HDV frt'!D18</f>
        <v>236280.83208649443</v>
      </c>
      <c r="F8" s="68">
        <f>'HDV frt'!E18</f>
        <v>219330.30673045837</v>
      </c>
      <c r="G8" s="68">
        <f>'HDV frt'!F18</f>
        <v>206358.3637017654</v>
      </c>
      <c r="H8" s="68">
        <f>'HDV frt'!G18</f>
        <v>196733.4245837277</v>
      </c>
      <c r="I8" s="68">
        <f>'HDV frt'!H18</f>
        <v>188696.90402505983</v>
      </c>
      <c r="J8" s="68">
        <f>'HDV frt'!I18</f>
        <v>181769.31634289454</v>
      </c>
      <c r="K8" s="68">
        <f>'HDV frt'!J18</f>
        <v>175850.05264603836</v>
      </c>
      <c r="L8" s="68">
        <f>'HDV frt'!K18</f>
        <v>170712.06638558381</v>
      </c>
      <c r="M8" s="68">
        <f>'HDV frt'!L18</f>
        <v>166196.27830578489</v>
      </c>
      <c r="N8" s="68">
        <f>'HDV frt'!M18</f>
        <v>162284.49520509975</v>
      </c>
      <c r="O8" s="68">
        <f>'HDV frt'!N18</f>
        <v>158639.60674920981</v>
      </c>
      <c r="P8" s="68">
        <f>'HDV frt'!O18</f>
        <v>155397.46551290966</v>
      </c>
      <c r="Q8" s="68">
        <f>'HDV frt'!P18</f>
        <v>152489.7409986784</v>
      </c>
      <c r="R8" s="68">
        <f>'HDV frt'!Q18</f>
        <v>149862.26797825738</v>
      </c>
      <c r="S8" s="68">
        <f>'HDV frt'!R18</f>
        <v>147443.36803891024</v>
      </c>
      <c r="T8" s="68">
        <f>'HDV frt'!S18</f>
        <v>145237.12251491132</v>
      </c>
      <c r="U8" s="68">
        <f>'HDV frt'!T18</f>
        <v>143204.85879603442</v>
      </c>
      <c r="V8" s="68">
        <f>'HDV frt'!U18</f>
        <v>141310.76334254077</v>
      </c>
      <c r="W8" s="68">
        <f>'HDV frt'!V18</f>
        <v>139528.65988708279</v>
      </c>
      <c r="X8" s="68">
        <f>'HDV frt'!W18</f>
        <v>137863.91698429445</v>
      </c>
      <c r="Y8" s="68">
        <f>'HDV frt'!X18</f>
        <v>136296.05813281462</v>
      </c>
      <c r="Z8" s="68">
        <f>'HDV frt'!Y18</f>
        <v>134811.21844315645</v>
      </c>
      <c r="AA8" s="68">
        <f>'HDV frt'!Z18</f>
        <v>133398.09078078077</v>
      </c>
      <c r="AB8" s="68">
        <f>'HDV frt'!AA18</f>
        <v>132047.06260416156</v>
      </c>
      <c r="AC8" s="68">
        <f>'HDV frt'!AB18</f>
        <v>130751.36176345867</v>
      </c>
      <c r="AD8" s="68">
        <f>'HDV frt'!AC18</f>
        <v>129502.90884859137</v>
      </c>
      <c r="AE8" s="68">
        <f>'HDV frt'!AD18</f>
        <v>128295.88369617976</v>
      </c>
      <c r="AF8" s="68">
        <f>'HDV frt'!AE18</f>
        <v>127125.62532170708</v>
      </c>
      <c r="AG8" s="68">
        <f>'HDV frt'!AF18</f>
        <v>125988.08499670762</v>
      </c>
      <c r="AH8"/>
      <c r="AI8"/>
      <c r="AJ8" s="24"/>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74630C-CA47-4EC5-81EE-C9D132ECF09A}">
  <sheetPr>
    <tabColor theme="7" tint="0.39997558519241921"/>
  </sheetPr>
  <dimension ref="A1:AJ196"/>
  <sheetViews>
    <sheetView topLeftCell="A121" workbookViewId="0">
      <selection activeCell="A130" sqref="A130:AK199"/>
    </sheetView>
  </sheetViews>
  <sheetFormatPr defaultRowHeight="14.5" x14ac:dyDescent="0.35"/>
  <cols>
    <col min="1" max="1" width="33" style="74" customWidth="1"/>
    <col min="2" max="16384" width="8.7265625" style="74"/>
  </cols>
  <sheetData>
    <row r="1" spans="1:36" x14ac:dyDescent="0.35">
      <c r="A1" s="74" t="s">
        <v>889</v>
      </c>
      <c r="B1" s="74" t="s">
        <v>1192</v>
      </c>
      <c r="F1" s="74">
        <f t="shared" ref="F1:AI1" si="0">F13</f>
        <v>2021</v>
      </c>
      <c r="G1" s="74">
        <f t="shared" si="0"/>
        <v>2022</v>
      </c>
      <c r="H1" s="74">
        <f t="shared" si="0"/>
        <v>2023</v>
      </c>
      <c r="I1" s="74">
        <f t="shared" si="0"/>
        <v>2024</v>
      </c>
      <c r="J1" s="74">
        <f t="shared" si="0"/>
        <v>2025</v>
      </c>
      <c r="K1" s="74">
        <f t="shared" si="0"/>
        <v>2026</v>
      </c>
      <c r="L1" s="74">
        <f t="shared" si="0"/>
        <v>2027</v>
      </c>
      <c r="M1" s="74">
        <f t="shared" si="0"/>
        <v>2028</v>
      </c>
      <c r="N1" s="74">
        <f t="shared" si="0"/>
        <v>2029</v>
      </c>
      <c r="O1" s="74">
        <f t="shared" si="0"/>
        <v>2030</v>
      </c>
      <c r="P1" s="74">
        <f t="shared" si="0"/>
        <v>2031</v>
      </c>
      <c r="Q1" s="74">
        <f t="shared" si="0"/>
        <v>2032</v>
      </c>
      <c r="R1" s="74">
        <f t="shared" si="0"/>
        <v>2033</v>
      </c>
      <c r="S1" s="74">
        <f t="shared" si="0"/>
        <v>2034</v>
      </c>
      <c r="T1" s="74">
        <f t="shared" si="0"/>
        <v>2035</v>
      </c>
      <c r="U1" s="74">
        <f t="shared" si="0"/>
        <v>2036</v>
      </c>
      <c r="V1" s="74">
        <f t="shared" si="0"/>
        <v>2037</v>
      </c>
      <c r="W1" s="74">
        <f t="shared" si="0"/>
        <v>2038</v>
      </c>
      <c r="X1" s="74">
        <f t="shared" si="0"/>
        <v>2039</v>
      </c>
      <c r="Y1" s="74">
        <f t="shared" si="0"/>
        <v>2040</v>
      </c>
      <c r="Z1" s="74">
        <f t="shared" si="0"/>
        <v>2041</v>
      </c>
      <c r="AA1" s="74">
        <f t="shared" si="0"/>
        <v>2042</v>
      </c>
      <c r="AB1" s="74">
        <f t="shared" si="0"/>
        <v>2043</v>
      </c>
      <c r="AC1" s="74">
        <f t="shared" si="0"/>
        <v>2044</v>
      </c>
      <c r="AD1" s="74">
        <f t="shared" si="0"/>
        <v>2045</v>
      </c>
      <c r="AE1" s="74">
        <f t="shared" si="0"/>
        <v>2046</v>
      </c>
      <c r="AF1" s="74">
        <f t="shared" si="0"/>
        <v>2047</v>
      </c>
      <c r="AG1" s="74">
        <f t="shared" si="0"/>
        <v>2048</v>
      </c>
      <c r="AH1" s="74">
        <f t="shared" si="0"/>
        <v>2049</v>
      </c>
      <c r="AI1" s="74">
        <f t="shared" si="0"/>
        <v>2050</v>
      </c>
    </row>
    <row r="2" spans="1:36" x14ac:dyDescent="0.35">
      <c r="A2" s="74" t="s">
        <v>1191</v>
      </c>
      <c r="B2" s="74">
        <f>AVERAGE(F2:AI2)</f>
        <v>0.14525416080115117</v>
      </c>
      <c r="F2" s="74">
        <f t="shared" ref="F2:AI2" si="1">(F16+F17)/(F16+F17+F18)</f>
        <v>0.15130046796044519</v>
      </c>
      <c r="G2" s="74">
        <f t="shared" si="1"/>
        <v>0.13724976485171977</v>
      </c>
      <c r="H2" s="74">
        <f t="shared" si="1"/>
        <v>0.13160717827547364</v>
      </c>
      <c r="I2" s="74">
        <f t="shared" si="1"/>
        <v>0.13124828147761605</v>
      </c>
      <c r="J2" s="74">
        <f t="shared" si="1"/>
        <v>0.13140039505959955</v>
      </c>
      <c r="K2" s="74">
        <f t="shared" si="1"/>
        <v>0.13498348328210213</v>
      </c>
      <c r="L2" s="74">
        <f t="shared" si="1"/>
        <v>0.13732551297559412</v>
      </c>
      <c r="M2" s="74">
        <f t="shared" si="1"/>
        <v>0.14038508440107439</v>
      </c>
      <c r="N2" s="74">
        <f t="shared" si="1"/>
        <v>0.14353451169068393</v>
      </c>
      <c r="O2" s="74">
        <f t="shared" si="1"/>
        <v>0.14321195408063009</v>
      </c>
      <c r="P2" s="74">
        <f t="shared" si="1"/>
        <v>0.14636130471335548</v>
      </c>
      <c r="Q2" s="74">
        <f t="shared" si="1"/>
        <v>0.14554065824541132</v>
      </c>
      <c r="R2" s="74">
        <f t="shared" si="1"/>
        <v>0.14716819297418005</v>
      </c>
      <c r="S2" s="74">
        <f t="shared" si="1"/>
        <v>0.14769391302420928</v>
      </c>
      <c r="T2" s="74">
        <f t="shared" si="1"/>
        <v>0.14844168156632792</v>
      </c>
      <c r="U2" s="74">
        <f t="shared" si="1"/>
        <v>0.14915319317900294</v>
      </c>
      <c r="V2" s="74">
        <f t="shared" si="1"/>
        <v>0.14973795004002399</v>
      </c>
      <c r="W2" s="74">
        <f t="shared" si="1"/>
        <v>0.15020119898360387</v>
      </c>
      <c r="X2" s="74">
        <f t="shared" si="1"/>
        <v>0.15035246487893333</v>
      </c>
      <c r="Y2" s="74">
        <f t="shared" si="1"/>
        <v>0.15066349372313306</v>
      </c>
      <c r="Z2" s="74">
        <f t="shared" si="1"/>
        <v>0.15061827810895989</v>
      </c>
      <c r="AA2" s="74">
        <f t="shared" si="1"/>
        <v>0.15056727702637415</v>
      </c>
      <c r="AB2" s="74">
        <f t="shared" si="1"/>
        <v>0.15047245460257222</v>
      </c>
      <c r="AC2" s="74">
        <f t="shared" si="1"/>
        <v>0.15011449124110063</v>
      </c>
      <c r="AD2" s="74">
        <f t="shared" si="1"/>
        <v>0.14967777515357689</v>
      </c>
      <c r="AE2" s="74">
        <f t="shared" si="1"/>
        <v>0.14909864223315417</v>
      </c>
      <c r="AF2" s="74">
        <f t="shared" si="1"/>
        <v>0.14836949598420374</v>
      </c>
      <c r="AG2" s="74">
        <f t="shared" si="1"/>
        <v>0.14777020749206771</v>
      </c>
      <c r="AH2" s="74">
        <f t="shared" si="1"/>
        <v>0.14714151543829854</v>
      </c>
      <c r="AI2" s="74">
        <f t="shared" si="1"/>
        <v>0.1462340013711077</v>
      </c>
    </row>
    <row r="3" spans="1:36" x14ac:dyDescent="0.35">
      <c r="A3" s="74" t="s">
        <v>1190</v>
      </c>
      <c r="B3" s="74">
        <f>AVERAGE(F3:AI3)</f>
        <v>0.8547458391988485</v>
      </c>
      <c r="F3" s="74">
        <f t="shared" ref="F3:AI3" si="2">1-F2</f>
        <v>0.84869953203955484</v>
      </c>
      <c r="G3" s="74">
        <f t="shared" si="2"/>
        <v>0.8627502351482802</v>
      </c>
      <c r="H3" s="74">
        <f t="shared" si="2"/>
        <v>0.86839282172452636</v>
      </c>
      <c r="I3" s="74">
        <f t="shared" si="2"/>
        <v>0.86875171852238398</v>
      </c>
      <c r="J3" s="74">
        <f t="shared" si="2"/>
        <v>0.86859960494040045</v>
      </c>
      <c r="K3" s="74">
        <f t="shared" si="2"/>
        <v>0.86501651671789781</v>
      </c>
      <c r="L3" s="74">
        <f t="shared" si="2"/>
        <v>0.86267448702440586</v>
      </c>
      <c r="M3" s="74">
        <f t="shared" si="2"/>
        <v>0.85961491559892567</v>
      </c>
      <c r="N3" s="74">
        <f t="shared" si="2"/>
        <v>0.85646548830931613</v>
      </c>
      <c r="O3" s="74">
        <f t="shared" si="2"/>
        <v>0.85678804591936997</v>
      </c>
      <c r="P3" s="74">
        <f t="shared" si="2"/>
        <v>0.85363869528664449</v>
      </c>
      <c r="Q3" s="74">
        <f t="shared" si="2"/>
        <v>0.85445934175458871</v>
      </c>
      <c r="R3" s="74">
        <f t="shared" si="2"/>
        <v>0.85283180702581995</v>
      </c>
      <c r="S3" s="74">
        <f t="shared" si="2"/>
        <v>0.85230608697579069</v>
      </c>
      <c r="T3" s="74">
        <f t="shared" si="2"/>
        <v>0.85155831843367213</v>
      </c>
      <c r="U3" s="74">
        <f t="shared" si="2"/>
        <v>0.85084680682099711</v>
      </c>
      <c r="V3" s="74">
        <f t="shared" si="2"/>
        <v>0.85026204995997601</v>
      </c>
      <c r="W3" s="74">
        <f t="shared" si="2"/>
        <v>0.84979880101639615</v>
      </c>
      <c r="X3" s="74">
        <f t="shared" si="2"/>
        <v>0.84964753512106661</v>
      </c>
      <c r="Y3" s="74">
        <f t="shared" si="2"/>
        <v>0.84933650627686696</v>
      </c>
      <c r="Z3" s="74">
        <f t="shared" si="2"/>
        <v>0.84938172189104011</v>
      </c>
      <c r="AA3" s="74">
        <f t="shared" si="2"/>
        <v>0.84943272297362582</v>
      </c>
      <c r="AB3" s="74">
        <f t="shared" si="2"/>
        <v>0.84952754539742781</v>
      </c>
      <c r="AC3" s="74">
        <f t="shared" si="2"/>
        <v>0.84988550875889934</v>
      </c>
      <c r="AD3" s="74">
        <f t="shared" si="2"/>
        <v>0.85032222484642306</v>
      </c>
      <c r="AE3" s="74">
        <f t="shared" si="2"/>
        <v>0.85090135776684583</v>
      </c>
      <c r="AF3" s="74">
        <f t="shared" si="2"/>
        <v>0.85163050401579632</v>
      </c>
      <c r="AG3" s="74">
        <f t="shared" si="2"/>
        <v>0.85222979250793229</v>
      </c>
      <c r="AH3" s="74">
        <f t="shared" si="2"/>
        <v>0.85285848456170144</v>
      </c>
      <c r="AI3" s="74">
        <f t="shared" si="2"/>
        <v>0.85376599862889235</v>
      </c>
    </row>
    <row r="5" spans="1:36" x14ac:dyDescent="0.35">
      <c r="A5" s="74" t="s">
        <v>910</v>
      </c>
    </row>
    <row r="6" spans="1:36" x14ac:dyDescent="0.35">
      <c r="A6" s="74" t="s">
        <v>1191</v>
      </c>
      <c r="B6" s="74">
        <f>AVERAGE(F6:AI6)</f>
        <v>0.1626536590326069</v>
      </c>
      <c r="F6" s="74">
        <f t="shared" ref="F6:AI6" si="3">(F26+F27)/(F26+F27+F28)</f>
        <v>0.17638783803099492</v>
      </c>
      <c r="G6" s="74">
        <f t="shared" si="3"/>
        <v>0.20760750623465041</v>
      </c>
      <c r="H6" s="74">
        <f t="shared" si="3"/>
        <v>0.20522120111345094</v>
      </c>
      <c r="I6" s="74">
        <f t="shared" si="3"/>
        <v>0.20036577766103439</v>
      </c>
      <c r="J6" s="74">
        <f t="shared" si="3"/>
        <v>0.19622370993926322</v>
      </c>
      <c r="K6" s="74">
        <f t="shared" si="3"/>
        <v>0.19408286697682137</v>
      </c>
      <c r="L6" s="74">
        <f t="shared" si="3"/>
        <v>0.19368897761732276</v>
      </c>
      <c r="M6" s="74">
        <f t="shared" si="3"/>
        <v>0.19373975105605365</v>
      </c>
      <c r="N6" s="74">
        <f t="shared" si="3"/>
        <v>0.19340345478004789</v>
      </c>
      <c r="O6" s="74">
        <f t="shared" si="3"/>
        <v>0.1939124525791914</v>
      </c>
      <c r="P6" s="74">
        <f t="shared" si="3"/>
        <v>0.18193412865558309</v>
      </c>
      <c r="Q6" s="74">
        <f t="shared" si="3"/>
        <v>0.17532021478497559</v>
      </c>
      <c r="R6" s="74">
        <f t="shared" si="3"/>
        <v>0.1692437641756338</v>
      </c>
      <c r="S6" s="74">
        <f t="shared" si="3"/>
        <v>0.16473649582641009</v>
      </c>
      <c r="T6" s="74">
        <f t="shared" si="3"/>
        <v>0.16085240547818663</v>
      </c>
      <c r="U6" s="74">
        <f t="shared" si="3"/>
        <v>0.1571284472587878</v>
      </c>
      <c r="V6" s="74">
        <f t="shared" si="3"/>
        <v>0.15368634972788942</v>
      </c>
      <c r="W6" s="74">
        <f t="shared" si="3"/>
        <v>0.1498106760975178</v>
      </c>
      <c r="X6" s="74">
        <f t="shared" si="3"/>
        <v>0.14681423917104616</v>
      </c>
      <c r="Y6" s="74">
        <f t="shared" si="3"/>
        <v>0.1433544482129499</v>
      </c>
      <c r="Z6" s="74">
        <f t="shared" si="3"/>
        <v>0.14042566660680297</v>
      </c>
      <c r="AA6" s="74">
        <f t="shared" si="3"/>
        <v>0.13813373533528081</v>
      </c>
      <c r="AB6" s="74">
        <f t="shared" si="3"/>
        <v>0.13548988736945236</v>
      </c>
      <c r="AC6" s="74">
        <f t="shared" si="3"/>
        <v>0.13321700593536343</v>
      </c>
      <c r="AD6" s="74">
        <f t="shared" si="3"/>
        <v>0.13143286326961573</v>
      </c>
      <c r="AE6" s="74">
        <f t="shared" si="3"/>
        <v>0.12973982777370344</v>
      </c>
      <c r="AF6" s="74">
        <f t="shared" si="3"/>
        <v>0.12884153679557289</v>
      </c>
      <c r="AG6" s="74">
        <f t="shared" si="3"/>
        <v>0.12850422905852163</v>
      </c>
      <c r="AH6" s="74">
        <f t="shared" si="3"/>
        <v>0.12827732420573199</v>
      </c>
      <c r="AI6" s="74">
        <f t="shared" si="3"/>
        <v>0.12803298925034923</v>
      </c>
    </row>
    <row r="7" spans="1:36" x14ac:dyDescent="0.35">
      <c r="A7" s="74" t="s">
        <v>1190</v>
      </c>
      <c r="B7" s="74">
        <f>AVERAGE(F7:AI7)</f>
        <v>0.83734634096739302</v>
      </c>
      <c r="F7" s="74">
        <f t="shared" ref="F7:AI7" si="4">1-F6</f>
        <v>0.82361216196900511</v>
      </c>
      <c r="G7" s="74">
        <f t="shared" si="4"/>
        <v>0.79239249376534959</v>
      </c>
      <c r="H7" s="74">
        <f t="shared" si="4"/>
        <v>0.79477879888654912</v>
      </c>
      <c r="I7" s="74">
        <f t="shared" si="4"/>
        <v>0.79963422233896564</v>
      </c>
      <c r="J7" s="74">
        <f t="shared" si="4"/>
        <v>0.80377629006073681</v>
      </c>
      <c r="K7" s="74">
        <f t="shared" si="4"/>
        <v>0.80591713302317869</v>
      </c>
      <c r="L7" s="74">
        <f t="shared" si="4"/>
        <v>0.80631102238267727</v>
      </c>
      <c r="M7" s="74">
        <f t="shared" si="4"/>
        <v>0.80626024894394632</v>
      </c>
      <c r="N7" s="74">
        <f t="shared" si="4"/>
        <v>0.80659654521995217</v>
      </c>
      <c r="O7" s="74">
        <f t="shared" si="4"/>
        <v>0.80608754742080857</v>
      </c>
      <c r="P7" s="74">
        <f t="shared" si="4"/>
        <v>0.81806587134441688</v>
      </c>
      <c r="Q7" s="74">
        <f t="shared" si="4"/>
        <v>0.82467978521502439</v>
      </c>
      <c r="R7" s="74">
        <f t="shared" si="4"/>
        <v>0.8307562358243662</v>
      </c>
      <c r="S7" s="74">
        <f t="shared" si="4"/>
        <v>0.83526350417358985</v>
      </c>
      <c r="T7" s="74">
        <f t="shared" si="4"/>
        <v>0.83914759452181342</v>
      </c>
      <c r="U7" s="74">
        <f t="shared" si="4"/>
        <v>0.84287155274121217</v>
      </c>
      <c r="V7" s="74">
        <f t="shared" si="4"/>
        <v>0.84631365027211058</v>
      </c>
      <c r="W7" s="74">
        <f t="shared" si="4"/>
        <v>0.85018932390248225</v>
      </c>
      <c r="X7" s="74">
        <f t="shared" si="4"/>
        <v>0.85318576082895381</v>
      </c>
      <c r="Y7" s="74">
        <f t="shared" si="4"/>
        <v>0.85664555178705015</v>
      </c>
      <c r="Z7" s="74">
        <f t="shared" si="4"/>
        <v>0.859574333393197</v>
      </c>
      <c r="AA7" s="74">
        <f t="shared" si="4"/>
        <v>0.86186626466471916</v>
      </c>
      <c r="AB7" s="74">
        <f t="shared" si="4"/>
        <v>0.86451011263054767</v>
      </c>
      <c r="AC7" s="74">
        <f t="shared" si="4"/>
        <v>0.86678299406463655</v>
      </c>
      <c r="AD7" s="74">
        <f t="shared" si="4"/>
        <v>0.86856713673038421</v>
      </c>
      <c r="AE7" s="74">
        <f t="shared" si="4"/>
        <v>0.87026017222629659</v>
      </c>
      <c r="AF7" s="74">
        <f t="shared" si="4"/>
        <v>0.87115846320442714</v>
      </c>
      <c r="AG7" s="74">
        <f t="shared" si="4"/>
        <v>0.87149577094147834</v>
      </c>
      <c r="AH7" s="74">
        <f t="shared" si="4"/>
        <v>0.87172267579426799</v>
      </c>
      <c r="AI7" s="74">
        <f t="shared" si="4"/>
        <v>0.87196701074965077</v>
      </c>
    </row>
    <row r="9" spans="1:36" x14ac:dyDescent="0.35">
      <c r="A9" s="74" t="s">
        <v>1189</v>
      </c>
    </row>
    <row r="10" spans="1:36" x14ac:dyDescent="0.35">
      <c r="A10" s="74" t="s">
        <v>1188</v>
      </c>
    </row>
    <row r="11" spans="1:36" x14ac:dyDescent="0.35">
      <c r="A11" s="74" t="s">
        <v>1187</v>
      </c>
    </row>
    <row r="12" spans="1:36" x14ac:dyDescent="0.35">
      <c r="A12" s="74" t="s">
        <v>1032</v>
      </c>
    </row>
    <row r="13" spans="1:36" x14ac:dyDescent="0.35">
      <c r="B13" s="74" t="s">
        <v>1031</v>
      </c>
      <c r="C13" s="74" t="s">
        <v>1030</v>
      </c>
      <c r="D13" s="74" t="s">
        <v>1029</v>
      </c>
      <c r="E13" s="74">
        <v>2020</v>
      </c>
      <c r="F13" s="74">
        <v>2021</v>
      </c>
      <c r="G13" s="74">
        <v>2022</v>
      </c>
      <c r="H13" s="74">
        <v>2023</v>
      </c>
      <c r="I13" s="74">
        <v>2024</v>
      </c>
      <c r="J13" s="74">
        <v>2025</v>
      </c>
      <c r="K13" s="74">
        <v>2026</v>
      </c>
      <c r="L13" s="74">
        <v>2027</v>
      </c>
      <c r="M13" s="74">
        <v>2028</v>
      </c>
      <c r="N13" s="74">
        <v>2029</v>
      </c>
      <c r="O13" s="74">
        <v>2030</v>
      </c>
      <c r="P13" s="74">
        <v>2031</v>
      </c>
      <c r="Q13" s="74">
        <v>2032</v>
      </c>
      <c r="R13" s="74">
        <v>2033</v>
      </c>
      <c r="S13" s="74">
        <v>2034</v>
      </c>
      <c r="T13" s="74">
        <v>2035</v>
      </c>
      <c r="U13" s="74">
        <v>2036</v>
      </c>
      <c r="V13" s="74">
        <v>2037</v>
      </c>
      <c r="W13" s="74">
        <v>2038</v>
      </c>
      <c r="X13" s="74">
        <v>2039</v>
      </c>
      <c r="Y13" s="74">
        <v>2040</v>
      </c>
      <c r="Z13" s="74">
        <v>2041</v>
      </c>
      <c r="AA13" s="74">
        <v>2042</v>
      </c>
      <c r="AB13" s="74">
        <v>2043</v>
      </c>
      <c r="AC13" s="74">
        <v>2044</v>
      </c>
      <c r="AD13" s="74">
        <v>2045</v>
      </c>
      <c r="AE13" s="74">
        <v>2046</v>
      </c>
      <c r="AF13" s="74">
        <v>2047</v>
      </c>
      <c r="AG13" s="74">
        <v>2048</v>
      </c>
      <c r="AH13" s="74">
        <v>2049</v>
      </c>
      <c r="AI13" s="74">
        <v>2050</v>
      </c>
      <c r="AJ13" s="74" t="s">
        <v>1028</v>
      </c>
    </row>
    <row r="14" spans="1:36" x14ac:dyDescent="0.35">
      <c r="A14" s="74" t="s">
        <v>1186</v>
      </c>
      <c r="C14" s="74" t="s">
        <v>1185</v>
      </c>
    </row>
    <row r="15" spans="1:36" x14ac:dyDescent="0.35">
      <c r="A15" s="74" t="s">
        <v>1184</v>
      </c>
      <c r="C15" s="74" t="s">
        <v>1183</v>
      </c>
    </row>
    <row r="16" spans="1:36" x14ac:dyDescent="0.35">
      <c r="A16" s="74" t="s">
        <v>134</v>
      </c>
      <c r="B16" s="74" t="s">
        <v>1171</v>
      </c>
      <c r="C16" s="74" t="s">
        <v>1170</v>
      </c>
      <c r="D16" s="74" t="s">
        <v>1038</v>
      </c>
      <c r="F16" s="74">
        <v>0.33228200000000002</v>
      </c>
      <c r="G16" s="74">
        <v>0.34432499999999999</v>
      </c>
      <c r="H16" s="74">
        <v>0.35410000000000003</v>
      </c>
      <c r="I16" s="74">
        <v>0.36294799999999999</v>
      </c>
      <c r="J16" s="74">
        <v>0.37239899999999998</v>
      </c>
      <c r="K16" s="74">
        <v>0.3891</v>
      </c>
      <c r="L16" s="74">
        <v>0.40438299999999999</v>
      </c>
      <c r="M16" s="74">
        <v>0.420018</v>
      </c>
      <c r="N16" s="74">
        <v>0.43794499999999997</v>
      </c>
      <c r="O16" s="74">
        <v>0.45745200000000003</v>
      </c>
      <c r="P16" s="74">
        <v>0.49660500000000002</v>
      </c>
      <c r="Q16" s="74">
        <v>0.52180099999999996</v>
      </c>
      <c r="R16" s="74">
        <v>0.54825599999999997</v>
      </c>
      <c r="S16" s="74">
        <v>0.57100399999999996</v>
      </c>
      <c r="T16" s="74">
        <v>0.59139900000000001</v>
      </c>
      <c r="U16" s="74">
        <v>0.61346500000000004</v>
      </c>
      <c r="V16" s="74">
        <v>0.63716099999999998</v>
      </c>
      <c r="W16" s="74">
        <v>0.66135100000000002</v>
      </c>
      <c r="X16" s="74">
        <v>0.68474599999999997</v>
      </c>
      <c r="Y16" s="74">
        <v>0.71194900000000005</v>
      </c>
      <c r="Z16" s="74">
        <v>0.73436199999999996</v>
      </c>
      <c r="AA16" s="74">
        <v>0.754467</v>
      </c>
      <c r="AB16" s="74">
        <v>0.77778700000000001</v>
      </c>
      <c r="AC16" s="74">
        <v>0.80018999999999996</v>
      </c>
      <c r="AD16" s="74">
        <v>0.825291</v>
      </c>
      <c r="AE16" s="74">
        <v>0.85028499999999996</v>
      </c>
      <c r="AF16" s="74">
        <v>0.86919800000000003</v>
      </c>
      <c r="AG16" s="74">
        <v>0.88697099999999995</v>
      </c>
      <c r="AH16" s="74">
        <v>0.90771000000000002</v>
      </c>
      <c r="AI16" s="74">
        <v>0.92855699999999997</v>
      </c>
      <c r="AJ16" s="160">
        <v>3.5999999999999997E-2</v>
      </c>
    </row>
    <row r="17" spans="1:36" x14ac:dyDescent="0.35">
      <c r="A17" s="74" t="s">
        <v>121</v>
      </c>
      <c r="B17" s="74" t="s">
        <v>1169</v>
      </c>
      <c r="C17" s="74" t="s">
        <v>1168</v>
      </c>
      <c r="D17" s="74" t="s">
        <v>1038</v>
      </c>
      <c r="F17" s="74">
        <v>5.3074669999999999</v>
      </c>
      <c r="G17" s="74">
        <v>5.4114230000000001</v>
      </c>
      <c r="H17" s="74">
        <v>5.6303169999999998</v>
      </c>
      <c r="I17" s="74">
        <v>6.1029600000000004</v>
      </c>
      <c r="J17" s="74">
        <v>6.0103020000000003</v>
      </c>
      <c r="K17" s="74">
        <v>6.1567749999999997</v>
      </c>
      <c r="L17" s="74">
        <v>6.2538320000000001</v>
      </c>
      <c r="M17" s="74">
        <v>6.3957990000000002</v>
      </c>
      <c r="N17" s="74">
        <v>6.6829270000000003</v>
      </c>
      <c r="O17" s="74">
        <v>7.0018349999999998</v>
      </c>
      <c r="P17" s="74">
        <v>8.3202300000000005</v>
      </c>
      <c r="Q17" s="74">
        <v>8.7844420000000003</v>
      </c>
      <c r="R17" s="74">
        <v>9.5224580000000003</v>
      </c>
      <c r="S17" s="74">
        <v>10.039811</v>
      </c>
      <c r="T17" s="74">
        <v>10.548373</v>
      </c>
      <c r="U17" s="74">
        <v>11.077159</v>
      </c>
      <c r="V17" s="74">
        <v>11.612667999999999</v>
      </c>
      <c r="W17" s="74">
        <v>12.206821</v>
      </c>
      <c r="X17" s="74">
        <v>12.690640999999999</v>
      </c>
      <c r="Y17" s="74">
        <v>13.324776</v>
      </c>
      <c r="Z17" s="74">
        <v>13.793495999999999</v>
      </c>
      <c r="AA17" s="74">
        <v>14.165316000000001</v>
      </c>
      <c r="AB17" s="74">
        <v>14.663078000000001</v>
      </c>
      <c r="AC17" s="74">
        <v>15.084056</v>
      </c>
      <c r="AD17" s="74">
        <v>15.524816</v>
      </c>
      <c r="AE17" s="74">
        <v>15.965021999999999</v>
      </c>
      <c r="AF17" s="74">
        <v>16.208735000000001</v>
      </c>
      <c r="AG17" s="74">
        <v>16.415545000000002</v>
      </c>
      <c r="AH17" s="74">
        <v>16.687045999999999</v>
      </c>
      <c r="AI17" s="74">
        <v>16.971596000000002</v>
      </c>
      <c r="AJ17" s="160">
        <v>4.1000000000000002E-2</v>
      </c>
    </row>
    <row r="18" spans="1:36" x14ac:dyDescent="0.35">
      <c r="A18" s="74" t="s">
        <v>545</v>
      </c>
      <c r="B18" s="74" t="s">
        <v>1167</v>
      </c>
      <c r="C18" s="74" t="s">
        <v>1166</v>
      </c>
      <c r="D18" s="74" t="s">
        <v>1038</v>
      </c>
      <c r="F18" s="74">
        <v>31.63541</v>
      </c>
      <c r="G18" s="74">
        <v>36.180557</v>
      </c>
      <c r="H18" s="74">
        <v>39.487395999999997</v>
      </c>
      <c r="I18" s="74">
        <v>42.798797999999998</v>
      </c>
      <c r="J18" s="74">
        <v>42.191741999999998</v>
      </c>
      <c r="K18" s="74">
        <v>41.948020999999997</v>
      </c>
      <c r="L18" s="74">
        <v>41.826694000000003</v>
      </c>
      <c r="M18" s="74">
        <v>41.735045999999997</v>
      </c>
      <c r="N18" s="74">
        <v>42.489998</v>
      </c>
      <c r="O18" s="74">
        <v>44.626358000000003</v>
      </c>
      <c r="P18" s="74">
        <v>51.423369999999998</v>
      </c>
      <c r="Q18" s="74">
        <v>54.636322</v>
      </c>
      <c r="R18" s="74">
        <v>58.359248999999998</v>
      </c>
      <c r="S18" s="74">
        <v>61.232464</v>
      </c>
      <c r="T18" s="74">
        <v>63.904998999999997</v>
      </c>
      <c r="U18" s="74">
        <v>66.689353999999994</v>
      </c>
      <c r="V18" s="74">
        <v>69.558616999999998</v>
      </c>
      <c r="W18" s="74">
        <v>72.804726000000002</v>
      </c>
      <c r="X18" s="74">
        <v>75.584823999999998</v>
      </c>
      <c r="Y18" s="74">
        <v>79.129340999999997</v>
      </c>
      <c r="Z18" s="74">
        <v>81.926956000000004</v>
      </c>
      <c r="AA18" s="74">
        <v>84.170692000000003</v>
      </c>
      <c r="AB18" s="74">
        <v>87.175026000000003</v>
      </c>
      <c r="AC18" s="74">
        <v>89.929962000000003</v>
      </c>
      <c r="AD18" s="74">
        <v>92.885261999999997</v>
      </c>
      <c r="AE18" s="74">
        <v>95.964438999999999</v>
      </c>
      <c r="AF18" s="74">
        <v>98.026138000000003</v>
      </c>
      <c r="AG18" s="74">
        <v>99.788177000000005</v>
      </c>
      <c r="AH18" s="74">
        <v>101.98234600000001</v>
      </c>
      <c r="AI18" s="74">
        <v>104.507446</v>
      </c>
      <c r="AJ18" s="160">
        <v>4.2000000000000003E-2</v>
      </c>
    </row>
    <row r="19" spans="1:36" x14ac:dyDescent="0.35">
      <c r="A19" s="74" t="s">
        <v>1115</v>
      </c>
      <c r="B19" s="74" t="s">
        <v>1165</v>
      </c>
      <c r="C19" s="74" t="s">
        <v>1164</v>
      </c>
      <c r="D19" s="74" t="s">
        <v>1038</v>
      </c>
      <c r="F19" s="74">
        <v>10.874454</v>
      </c>
      <c r="G19" s="74">
        <v>9.8351659999999992</v>
      </c>
      <c r="H19" s="74">
        <v>8.3997270000000004</v>
      </c>
      <c r="I19" s="74">
        <v>8.1111260000000005</v>
      </c>
      <c r="J19" s="74">
        <v>8.1395929999999996</v>
      </c>
      <c r="K19" s="74">
        <v>8.1536380000000008</v>
      </c>
      <c r="L19" s="74">
        <v>8.2175340000000006</v>
      </c>
      <c r="M19" s="74">
        <v>8.2848269999999999</v>
      </c>
      <c r="N19" s="74">
        <v>8.4620639999999998</v>
      </c>
      <c r="O19" s="74">
        <v>8.8023340000000001</v>
      </c>
      <c r="P19" s="74">
        <v>10.266228999999999</v>
      </c>
      <c r="Q19" s="74">
        <v>10.691595</v>
      </c>
      <c r="R19" s="74">
        <v>11.403995999999999</v>
      </c>
      <c r="S19" s="74">
        <v>11.841941</v>
      </c>
      <c r="T19" s="74">
        <v>12.223613</v>
      </c>
      <c r="U19" s="74">
        <v>12.628372000000001</v>
      </c>
      <c r="V19" s="74">
        <v>13.023664999999999</v>
      </c>
      <c r="W19" s="74">
        <v>13.464663</v>
      </c>
      <c r="X19" s="74">
        <v>13.770270999999999</v>
      </c>
      <c r="Y19" s="74">
        <v>14.263203000000001</v>
      </c>
      <c r="Z19" s="74">
        <v>14.503444</v>
      </c>
      <c r="AA19" s="74">
        <v>14.657933</v>
      </c>
      <c r="AB19" s="74">
        <v>14.946019</v>
      </c>
      <c r="AC19" s="74">
        <v>15.166725</v>
      </c>
      <c r="AD19" s="74">
        <v>15.403482</v>
      </c>
      <c r="AE19" s="74">
        <v>15.683083999999999</v>
      </c>
      <c r="AF19" s="74">
        <v>15.784469</v>
      </c>
      <c r="AG19" s="74">
        <v>15.839793</v>
      </c>
      <c r="AH19" s="74">
        <v>15.965611000000001</v>
      </c>
      <c r="AI19" s="74">
        <v>16.103718000000001</v>
      </c>
      <c r="AJ19" s="160">
        <v>1.4E-2</v>
      </c>
    </row>
    <row r="20" spans="1:36" x14ac:dyDescent="0.35">
      <c r="A20" s="74" t="s">
        <v>1112</v>
      </c>
      <c r="B20" s="74" t="s">
        <v>1163</v>
      </c>
      <c r="C20" s="74" t="s">
        <v>1162</v>
      </c>
      <c r="D20" s="74" t="s">
        <v>1038</v>
      </c>
      <c r="F20" s="74">
        <v>0.42025099999999999</v>
      </c>
      <c r="G20" s="74">
        <v>0.43015199999999998</v>
      </c>
      <c r="H20" s="74">
        <v>0.42873499999999998</v>
      </c>
      <c r="I20" s="74">
        <v>0.46410899999999999</v>
      </c>
      <c r="J20" s="74">
        <v>0.48558400000000002</v>
      </c>
      <c r="K20" s="74">
        <v>0.52097199999999999</v>
      </c>
      <c r="L20" s="74">
        <v>0.55831200000000003</v>
      </c>
      <c r="M20" s="74">
        <v>0.59722500000000001</v>
      </c>
      <c r="N20" s="74">
        <v>0.64162699999999995</v>
      </c>
      <c r="O20" s="74">
        <v>0.69398499999999996</v>
      </c>
      <c r="P20" s="74">
        <v>0.81490200000000002</v>
      </c>
      <c r="Q20" s="74">
        <v>0.87951699999999999</v>
      </c>
      <c r="R20" s="74">
        <v>0.95844700000000005</v>
      </c>
      <c r="S20" s="74">
        <v>1.0223899999999999</v>
      </c>
      <c r="T20" s="74">
        <v>1.0828329999999999</v>
      </c>
      <c r="U20" s="74">
        <v>1.146987</v>
      </c>
      <c r="V20" s="74">
        <v>1.2128049999999999</v>
      </c>
      <c r="W20" s="74">
        <v>1.2826489999999999</v>
      </c>
      <c r="X20" s="74">
        <v>1.3449</v>
      </c>
      <c r="Y20" s="74">
        <v>1.421338</v>
      </c>
      <c r="Z20" s="74">
        <v>1.4818370000000001</v>
      </c>
      <c r="AA20" s="74">
        <v>1.53461</v>
      </c>
      <c r="AB20" s="74">
        <v>1.598657</v>
      </c>
      <c r="AC20" s="74">
        <v>1.658409</v>
      </c>
      <c r="AD20" s="74">
        <v>1.7217979999999999</v>
      </c>
      <c r="AE20" s="74">
        <v>1.7863070000000001</v>
      </c>
      <c r="AF20" s="74">
        <v>1.833377</v>
      </c>
      <c r="AG20" s="74">
        <v>1.8764110000000001</v>
      </c>
      <c r="AH20" s="74">
        <v>1.926936</v>
      </c>
      <c r="AI20" s="74">
        <v>1.9788399999999999</v>
      </c>
      <c r="AJ20" s="160">
        <v>5.5E-2</v>
      </c>
    </row>
    <row r="21" spans="1:36" x14ac:dyDescent="0.35">
      <c r="A21" s="74" t="s">
        <v>1146</v>
      </c>
      <c r="B21" s="74" t="s">
        <v>1145</v>
      </c>
      <c r="C21" s="74" t="s">
        <v>1144</v>
      </c>
      <c r="D21" s="74" t="s">
        <v>1038</v>
      </c>
      <c r="F21" s="74">
        <v>124.818336</v>
      </c>
      <c r="G21" s="74">
        <v>134.217896</v>
      </c>
      <c r="H21" s="74">
        <v>140.10389699999999</v>
      </c>
      <c r="I21" s="74">
        <v>142.18731700000001</v>
      </c>
      <c r="J21" s="74">
        <v>138.91000399999999</v>
      </c>
      <c r="K21" s="74">
        <v>138.88630699999999</v>
      </c>
      <c r="L21" s="74">
        <v>139.46487400000001</v>
      </c>
      <c r="M21" s="74">
        <v>140.03663599999999</v>
      </c>
      <c r="N21" s="74">
        <v>142.04226700000001</v>
      </c>
      <c r="O21" s="74">
        <v>146.03178399999999</v>
      </c>
      <c r="P21" s="74">
        <v>162.85076900000001</v>
      </c>
      <c r="Q21" s="74">
        <v>167.94975299999999</v>
      </c>
      <c r="R21" s="74">
        <v>175.29264800000001</v>
      </c>
      <c r="S21" s="74">
        <v>180.13827499999999</v>
      </c>
      <c r="T21" s="74">
        <v>184.26573200000001</v>
      </c>
      <c r="U21" s="74">
        <v>188.830536</v>
      </c>
      <c r="V21" s="74">
        <v>193.66043099999999</v>
      </c>
      <c r="W21" s="74">
        <v>199.23898299999999</v>
      </c>
      <c r="X21" s="74">
        <v>203.660965</v>
      </c>
      <c r="Y21" s="74">
        <v>210.038162</v>
      </c>
      <c r="Z21" s="74">
        <v>215.03295900000001</v>
      </c>
      <c r="AA21" s="74">
        <v>218.23507699999999</v>
      </c>
      <c r="AB21" s="74">
        <v>223.07629399999999</v>
      </c>
      <c r="AC21" s="74">
        <v>227.31303399999999</v>
      </c>
      <c r="AD21" s="74">
        <v>232.046661</v>
      </c>
      <c r="AE21" s="74">
        <v>237.01269500000001</v>
      </c>
      <c r="AF21" s="74">
        <v>239.63819899999999</v>
      </c>
      <c r="AG21" s="74">
        <v>241.68568400000001</v>
      </c>
      <c r="AH21" s="74">
        <v>244.74073799999999</v>
      </c>
      <c r="AI21" s="74">
        <v>248.198273</v>
      </c>
      <c r="AJ21" s="160">
        <v>2.4E-2</v>
      </c>
    </row>
    <row r="22" spans="1:36" x14ac:dyDescent="0.35">
      <c r="A22" s="74" t="s">
        <v>850</v>
      </c>
      <c r="B22" s="74" t="s">
        <v>1143</v>
      </c>
      <c r="C22" s="74" t="s">
        <v>1142</v>
      </c>
      <c r="D22" s="74" t="s">
        <v>979</v>
      </c>
      <c r="F22" s="74">
        <v>13.058121999999999</v>
      </c>
      <c r="G22" s="74">
        <v>14.707798</v>
      </c>
      <c r="H22" s="74">
        <v>16.138100000000001</v>
      </c>
      <c r="I22" s="74">
        <v>17.004301000000002</v>
      </c>
      <c r="J22" s="74">
        <v>17.256398999999998</v>
      </c>
      <c r="K22" s="74">
        <v>17.486806999999999</v>
      </c>
      <c r="L22" s="74">
        <v>17.805733</v>
      </c>
      <c r="M22" s="74">
        <v>18.128748000000002</v>
      </c>
      <c r="N22" s="74">
        <v>18.532682000000001</v>
      </c>
      <c r="O22" s="74">
        <v>19.100339999999999</v>
      </c>
      <c r="P22" s="74">
        <v>20.327449999999999</v>
      </c>
      <c r="Q22" s="74">
        <v>21.048828</v>
      </c>
      <c r="R22" s="74">
        <v>21.763863000000001</v>
      </c>
      <c r="S22" s="74">
        <v>22.361885000000001</v>
      </c>
      <c r="T22" s="74">
        <v>22.942764</v>
      </c>
      <c r="U22" s="74">
        <v>23.509471999999999</v>
      </c>
      <c r="V22" s="74">
        <v>24.050232000000001</v>
      </c>
      <c r="W22" s="74">
        <v>24.650703</v>
      </c>
      <c r="X22" s="74">
        <v>25.178272</v>
      </c>
      <c r="Y22" s="74">
        <v>25.761219000000001</v>
      </c>
      <c r="Z22" s="74">
        <v>26.378902</v>
      </c>
      <c r="AA22" s="74">
        <v>26.861069000000001</v>
      </c>
      <c r="AB22" s="74">
        <v>27.403020999999999</v>
      </c>
      <c r="AC22" s="74">
        <v>27.925373</v>
      </c>
      <c r="AD22" s="74">
        <v>28.421434000000001</v>
      </c>
      <c r="AE22" s="74">
        <v>28.934474999999999</v>
      </c>
      <c r="AF22" s="74">
        <v>29.388794000000001</v>
      </c>
      <c r="AG22" s="74">
        <v>29.804976</v>
      </c>
      <c r="AH22" s="74">
        <v>30.227264000000002</v>
      </c>
      <c r="AI22" s="74">
        <v>30.679897</v>
      </c>
      <c r="AJ22" s="160">
        <v>0.03</v>
      </c>
    </row>
    <row r="23" spans="1:36" x14ac:dyDescent="0.35">
      <c r="A23" s="74" t="s">
        <v>848</v>
      </c>
      <c r="B23" s="74" t="s">
        <v>1141</v>
      </c>
      <c r="C23" s="74" t="s">
        <v>1140</v>
      </c>
      <c r="D23" s="74" t="s">
        <v>1038</v>
      </c>
      <c r="F23" s="74">
        <v>955.86749299999997</v>
      </c>
      <c r="G23" s="74">
        <v>912.56280500000003</v>
      </c>
      <c r="H23" s="74">
        <v>868.15612799999997</v>
      </c>
      <c r="I23" s="74">
        <v>836.18444799999997</v>
      </c>
      <c r="J23" s="74">
        <v>804.97680700000001</v>
      </c>
      <c r="K23" s="74">
        <v>794.23480199999995</v>
      </c>
      <c r="L23" s="74">
        <v>783.25830099999996</v>
      </c>
      <c r="M23" s="74">
        <v>772.45617700000003</v>
      </c>
      <c r="N23" s="74">
        <v>766.44201699999996</v>
      </c>
      <c r="O23" s="74">
        <v>764.55071999999996</v>
      </c>
      <c r="P23" s="74">
        <v>801.13720699999999</v>
      </c>
      <c r="Q23" s="74">
        <v>797.90551800000003</v>
      </c>
      <c r="R23" s="74">
        <v>805.42987100000005</v>
      </c>
      <c r="S23" s="74">
        <v>805.55944799999997</v>
      </c>
      <c r="T23" s="74">
        <v>803.15399200000002</v>
      </c>
      <c r="U23" s="74">
        <v>803.21044900000004</v>
      </c>
      <c r="V23" s="74">
        <v>805.23315400000001</v>
      </c>
      <c r="W23" s="74">
        <v>808.24865699999998</v>
      </c>
      <c r="X23" s="74">
        <v>808.87591599999996</v>
      </c>
      <c r="Y23" s="74">
        <v>815.32696499999997</v>
      </c>
      <c r="Z23" s="74">
        <v>815.17022699999995</v>
      </c>
      <c r="AA23" s="74">
        <v>812.458618</v>
      </c>
      <c r="AB23" s="74">
        <v>814.05731200000002</v>
      </c>
      <c r="AC23" s="74">
        <v>814.00176999999996</v>
      </c>
      <c r="AD23" s="74">
        <v>816.44946300000004</v>
      </c>
      <c r="AE23" s="74">
        <v>819.135986</v>
      </c>
      <c r="AF23" s="74">
        <v>815.40667699999995</v>
      </c>
      <c r="AG23" s="74">
        <v>810.89038100000005</v>
      </c>
      <c r="AH23" s="74">
        <v>809.66882299999997</v>
      </c>
      <c r="AI23" s="74">
        <v>808.99316399999998</v>
      </c>
      <c r="AJ23" s="160">
        <v>-6.0000000000000001E-3</v>
      </c>
    </row>
    <row r="24" spans="1:36" x14ac:dyDescent="0.35">
      <c r="A24" s="74" t="s">
        <v>1139</v>
      </c>
      <c r="C24" s="74" t="s">
        <v>1138</v>
      </c>
    </row>
    <row r="25" spans="1:36" x14ac:dyDescent="0.35">
      <c r="A25" s="74" t="s">
        <v>1137</v>
      </c>
      <c r="C25" s="74" t="s">
        <v>1136</v>
      </c>
    </row>
    <row r="26" spans="1:36" x14ac:dyDescent="0.35">
      <c r="A26" s="74" t="s">
        <v>134</v>
      </c>
      <c r="B26" s="74" t="s">
        <v>1121</v>
      </c>
      <c r="C26" s="74" t="s">
        <v>1120</v>
      </c>
      <c r="D26" s="74" t="s">
        <v>1038</v>
      </c>
      <c r="F26" s="74">
        <v>1.1443E-2</v>
      </c>
      <c r="G26" s="74">
        <v>1.1409000000000001E-2</v>
      </c>
      <c r="H26" s="74">
        <v>1.1408E-2</v>
      </c>
      <c r="I26" s="74">
        <v>1.1195E-2</v>
      </c>
      <c r="J26" s="74">
        <v>1.0957E-2</v>
      </c>
      <c r="K26" s="74">
        <v>1.0692E-2</v>
      </c>
      <c r="L26" s="74">
        <v>1.027E-2</v>
      </c>
      <c r="M26" s="74">
        <v>9.7610000000000006E-3</v>
      </c>
      <c r="N26" s="74">
        <v>9.306E-3</v>
      </c>
      <c r="O26" s="74">
        <v>8.8310000000000003E-3</v>
      </c>
      <c r="P26" s="74">
        <v>8.1639999999999994E-3</v>
      </c>
      <c r="Q26" s="74">
        <v>7.6829999999999997E-3</v>
      </c>
      <c r="R26" s="74">
        <v>7.2179999999999996E-3</v>
      </c>
      <c r="S26" s="74">
        <v>6.7730000000000004E-3</v>
      </c>
      <c r="T26" s="74">
        <v>6.3359999999999996E-3</v>
      </c>
      <c r="U26" s="74">
        <v>5.9319999999999998E-3</v>
      </c>
      <c r="V26" s="74">
        <v>5.5500000000000002E-3</v>
      </c>
      <c r="W26" s="74">
        <v>5.1529999999999996E-3</v>
      </c>
      <c r="X26" s="74">
        <v>4.7699999999999999E-3</v>
      </c>
      <c r="Y26" s="74">
        <v>4.3870000000000003E-3</v>
      </c>
      <c r="Z26" s="74">
        <v>3.9719999999999998E-3</v>
      </c>
      <c r="AA26" s="74">
        <v>3.5479999999999999E-3</v>
      </c>
      <c r="AB26" s="74">
        <v>3.124E-3</v>
      </c>
      <c r="AC26" s="74">
        <v>2.689E-3</v>
      </c>
      <c r="AD26" s="74">
        <v>2.2620000000000001E-3</v>
      </c>
      <c r="AE26" s="74">
        <v>1.8240000000000001E-3</v>
      </c>
      <c r="AF26" s="74">
        <v>1.3730000000000001E-3</v>
      </c>
      <c r="AG26" s="74">
        <v>9.2000000000000003E-4</v>
      </c>
      <c r="AH26" s="74">
        <v>4.64E-4</v>
      </c>
      <c r="AI26" s="74">
        <v>0</v>
      </c>
      <c r="AJ26" s="74" t="s">
        <v>12</v>
      </c>
    </row>
    <row r="27" spans="1:36" x14ac:dyDescent="0.35">
      <c r="A27" s="74" t="s">
        <v>121</v>
      </c>
      <c r="B27" s="74" t="s">
        <v>1119</v>
      </c>
      <c r="C27" s="74" t="s">
        <v>1118</v>
      </c>
      <c r="D27" s="74" t="s">
        <v>1038</v>
      </c>
      <c r="F27" s="74">
        <v>4.3965180000000004</v>
      </c>
      <c r="G27" s="74">
        <v>5.4621110000000002</v>
      </c>
      <c r="H27" s="74">
        <v>6.6644819999999996</v>
      </c>
      <c r="I27" s="74">
        <v>8.0477480000000003</v>
      </c>
      <c r="J27" s="74">
        <v>8.7068899999999996</v>
      </c>
      <c r="K27" s="74">
        <v>9.2144100000000009</v>
      </c>
      <c r="L27" s="74">
        <v>9.7110959999999995</v>
      </c>
      <c r="M27" s="74">
        <v>10.137577</v>
      </c>
      <c r="N27" s="74">
        <v>10.702759</v>
      </c>
      <c r="O27" s="74">
        <v>11.309726</v>
      </c>
      <c r="P27" s="74">
        <v>11.974325</v>
      </c>
      <c r="Q27" s="74">
        <v>12.221185999999999</v>
      </c>
      <c r="R27" s="74">
        <v>12.617668</v>
      </c>
      <c r="S27" s="74">
        <v>12.89963</v>
      </c>
      <c r="T27" s="74">
        <v>13.194293</v>
      </c>
      <c r="U27" s="74">
        <v>13.529311999999999</v>
      </c>
      <c r="V27" s="74">
        <v>13.890522000000001</v>
      </c>
      <c r="W27" s="74">
        <v>14.241642000000001</v>
      </c>
      <c r="X27" s="74">
        <v>14.593168</v>
      </c>
      <c r="Y27" s="74">
        <v>15.001896</v>
      </c>
      <c r="Z27" s="74">
        <v>15.297397999999999</v>
      </c>
      <c r="AA27" s="74">
        <v>15.551289000000001</v>
      </c>
      <c r="AB27" s="74">
        <v>15.856538</v>
      </c>
      <c r="AC27" s="74">
        <v>16.1264</v>
      </c>
      <c r="AD27" s="74">
        <v>16.479514999999999</v>
      </c>
      <c r="AE27" s="74">
        <v>16.837340999999999</v>
      </c>
      <c r="AF27" s="74">
        <v>17.117688999999999</v>
      </c>
      <c r="AG27" s="74">
        <v>17.445239999999998</v>
      </c>
      <c r="AH27" s="74">
        <v>17.860357</v>
      </c>
      <c r="AI27" s="74">
        <v>18.300308000000001</v>
      </c>
      <c r="AJ27" s="160">
        <v>0.05</v>
      </c>
    </row>
    <row r="28" spans="1:36" x14ac:dyDescent="0.35">
      <c r="A28" s="74" t="s">
        <v>545</v>
      </c>
      <c r="B28" s="74" t="s">
        <v>1117</v>
      </c>
      <c r="C28" s="74" t="s">
        <v>1116</v>
      </c>
      <c r="D28" s="74" t="s">
        <v>1038</v>
      </c>
      <c r="F28" s="74">
        <v>20.582203</v>
      </c>
      <c r="G28" s="74">
        <v>20.89123</v>
      </c>
      <c r="H28" s="74">
        <v>25.854326</v>
      </c>
      <c r="I28" s="74">
        <v>32.162211999999997</v>
      </c>
      <c r="J28" s="74">
        <v>35.710254999999997</v>
      </c>
      <c r="K28" s="74">
        <v>38.306666999999997</v>
      </c>
      <c r="L28" s="74">
        <v>40.469234</v>
      </c>
      <c r="M28" s="74">
        <v>42.228789999999996</v>
      </c>
      <c r="N28" s="74">
        <v>44.675078999999997</v>
      </c>
      <c r="O28" s="74">
        <v>47.050860999999998</v>
      </c>
      <c r="P28" s="74">
        <v>53.879199999999997</v>
      </c>
      <c r="Q28" s="74">
        <v>57.522751</v>
      </c>
      <c r="R28" s="74">
        <v>61.970984999999999</v>
      </c>
      <c r="S28" s="74">
        <v>65.439339000000004</v>
      </c>
      <c r="T28" s="74">
        <v>68.866089000000002</v>
      </c>
      <c r="U28" s="74">
        <v>72.606026</v>
      </c>
      <c r="V28" s="74">
        <v>76.522316000000004</v>
      </c>
      <c r="W28" s="74">
        <v>80.851867999999996</v>
      </c>
      <c r="X28" s="74">
        <v>84.833411999999996</v>
      </c>
      <c r="Y28" s="74">
        <v>89.673293999999999</v>
      </c>
      <c r="Z28" s="74">
        <v>93.662826999999993</v>
      </c>
      <c r="AA28" s="74">
        <v>97.052245999999997</v>
      </c>
      <c r="AB28" s="74">
        <v>101.19455000000001</v>
      </c>
      <c r="AC28" s="74">
        <v>104.94471</v>
      </c>
      <c r="AD28" s="74">
        <v>108.918953</v>
      </c>
      <c r="AE28" s="74">
        <v>112.952629</v>
      </c>
      <c r="AF28" s="74">
        <v>115.750061</v>
      </c>
      <c r="AG28" s="74">
        <v>118.317154</v>
      </c>
      <c r="AH28" s="74">
        <v>121.375175</v>
      </c>
      <c r="AI28" s="74">
        <v>124.63401</v>
      </c>
      <c r="AJ28" s="160">
        <v>6.4000000000000001E-2</v>
      </c>
    </row>
    <row r="29" spans="1:36" x14ac:dyDescent="0.35">
      <c r="A29" s="74" t="s">
        <v>1115</v>
      </c>
      <c r="B29" s="74" t="s">
        <v>1114</v>
      </c>
      <c r="C29" s="74" t="s">
        <v>1113</v>
      </c>
      <c r="D29" s="74" t="s">
        <v>1038</v>
      </c>
      <c r="F29" s="74">
        <v>10.869331000000001</v>
      </c>
      <c r="G29" s="74">
        <v>9.4241910000000004</v>
      </c>
      <c r="H29" s="74">
        <v>9.2803789999999999</v>
      </c>
      <c r="I29" s="74">
        <v>9.3416340000000009</v>
      </c>
      <c r="J29" s="74">
        <v>9.288729</v>
      </c>
      <c r="K29" s="74">
        <v>9.2996359999999996</v>
      </c>
      <c r="L29" s="74">
        <v>9.3025579999999994</v>
      </c>
      <c r="M29" s="74">
        <v>9.3038989999999995</v>
      </c>
      <c r="N29" s="74">
        <v>9.4069179999999992</v>
      </c>
      <c r="O29" s="74">
        <v>9.6102019999999992</v>
      </c>
      <c r="P29" s="74">
        <v>10.101037</v>
      </c>
      <c r="Q29" s="74">
        <v>10.385539</v>
      </c>
      <c r="R29" s="74">
        <v>10.799319000000001</v>
      </c>
      <c r="S29" s="74">
        <v>11.130931</v>
      </c>
      <c r="T29" s="74">
        <v>11.436602000000001</v>
      </c>
      <c r="U29" s="74">
        <v>11.792935</v>
      </c>
      <c r="V29" s="74">
        <v>12.178732999999999</v>
      </c>
      <c r="W29" s="74">
        <v>12.576775</v>
      </c>
      <c r="X29" s="74">
        <v>12.965393000000001</v>
      </c>
      <c r="Y29" s="74">
        <v>13.421402</v>
      </c>
      <c r="Z29" s="74">
        <v>13.73631</v>
      </c>
      <c r="AA29" s="74">
        <v>13.996442999999999</v>
      </c>
      <c r="AB29" s="74">
        <v>14.301352</v>
      </c>
      <c r="AC29" s="74">
        <v>14.57197</v>
      </c>
      <c r="AD29" s="74">
        <v>14.893776000000001</v>
      </c>
      <c r="AE29" s="74">
        <v>15.210190000000001</v>
      </c>
      <c r="AF29" s="74">
        <v>15.410399</v>
      </c>
      <c r="AG29" s="74">
        <v>15.615111000000001</v>
      </c>
      <c r="AH29" s="74">
        <v>15.874045000000001</v>
      </c>
      <c r="AI29" s="74">
        <v>16.134577</v>
      </c>
      <c r="AJ29" s="160">
        <v>1.4E-2</v>
      </c>
    </row>
    <row r="30" spans="1:36" x14ac:dyDescent="0.35">
      <c r="A30" s="74" t="s">
        <v>1112</v>
      </c>
      <c r="B30" s="74" t="s">
        <v>1111</v>
      </c>
      <c r="C30" s="74" t="s">
        <v>1110</v>
      </c>
      <c r="D30" s="74" t="s">
        <v>1038</v>
      </c>
      <c r="F30" s="74">
        <v>4.5613060000000001</v>
      </c>
      <c r="G30" s="74">
        <v>22.866707000000002</v>
      </c>
      <c r="H30" s="74">
        <v>28.889965</v>
      </c>
      <c r="I30" s="74">
        <v>30.139986</v>
      </c>
      <c r="J30" s="74">
        <v>30.286277999999999</v>
      </c>
      <c r="K30" s="74">
        <v>30.271470999999998</v>
      </c>
      <c r="L30" s="74">
        <v>30.169018000000001</v>
      </c>
      <c r="M30" s="74">
        <v>30.027692999999999</v>
      </c>
      <c r="N30" s="74">
        <v>30.213895999999998</v>
      </c>
      <c r="O30" s="74">
        <v>30.693746999999998</v>
      </c>
      <c r="P30" s="74">
        <v>32.190331</v>
      </c>
      <c r="Q30" s="74">
        <v>33.305107</v>
      </c>
      <c r="R30" s="74">
        <v>34.316707999999998</v>
      </c>
      <c r="S30" s="74">
        <v>35.140236000000002</v>
      </c>
      <c r="T30" s="74">
        <v>35.856327</v>
      </c>
      <c r="U30" s="74">
        <v>36.741058000000002</v>
      </c>
      <c r="V30" s="74">
        <v>37.744594999999997</v>
      </c>
      <c r="W30" s="74">
        <v>38.764957000000003</v>
      </c>
      <c r="X30" s="74">
        <v>39.801380000000002</v>
      </c>
      <c r="Y30" s="74">
        <v>41.027267000000002</v>
      </c>
      <c r="Z30" s="74">
        <v>41.918838999999998</v>
      </c>
      <c r="AA30" s="74">
        <v>42.645515000000003</v>
      </c>
      <c r="AB30" s="74">
        <v>43.512970000000003</v>
      </c>
      <c r="AC30" s="74">
        <v>44.302078000000002</v>
      </c>
      <c r="AD30" s="74">
        <v>45.245215999999999</v>
      </c>
      <c r="AE30" s="74">
        <v>46.155814999999997</v>
      </c>
      <c r="AF30" s="74">
        <v>46.740726000000002</v>
      </c>
      <c r="AG30" s="74">
        <v>47.322482999999998</v>
      </c>
      <c r="AH30" s="74">
        <v>48.059254000000003</v>
      </c>
      <c r="AI30" s="74">
        <v>48.821776999999997</v>
      </c>
      <c r="AJ30" s="160">
        <v>8.5000000000000006E-2</v>
      </c>
    </row>
    <row r="31" spans="1:36" x14ac:dyDescent="0.35">
      <c r="A31" s="74" t="s">
        <v>1109</v>
      </c>
      <c r="B31" s="74" t="s">
        <v>1108</v>
      </c>
      <c r="C31" s="74" t="s">
        <v>1107</v>
      </c>
      <c r="D31" s="74" t="s">
        <v>1038</v>
      </c>
      <c r="F31" s="74">
        <v>0</v>
      </c>
      <c r="G31" s="74">
        <v>0</v>
      </c>
      <c r="H31" s="74">
        <v>0</v>
      </c>
      <c r="I31" s="74">
        <v>0</v>
      </c>
      <c r="J31" s="74">
        <v>0</v>
      </c>
      <c r="K31" s="74">
        <v>0</v>
      </c>
      <c r="L31" s="74">
        <v>0</v>
      </c>
      <c r="M31" s="74">
        <v>0</v>
      </c>
      <c r="N31" s="74">
        <v>0</v>
      </c>
      <c r="O31" s="74">
        <v>0</v>
      </c>
      <c r="P31" s="74">
        <v>0</v>
      </c>
      <c r="Q31" s="74">
        <v>0</v>
      </c>
      <c r="R31" s="74">
        <v>0</v>
      </c>
      <c r="S31" s="74">
        <v>0</v>
      </c>
      <c r="T31" s="74">
        <v>0</v>
      </c>
      <c r="U31" s="74">
        <v>0</v>
      </c>
      <c r="V31" s="74">
        <v>0</v>
      </c>
      <c r="W31" s="74">
        <v>0</v>
      </c>
      <c r="X31" s="74">
        <v>0</v>
      </c>
      <c r="Y31" s="74">
        <v>0</v>
      </c>
      <c r="Z31" s="74">
        <v>0</v>
      </c>
      <c r="AA31" s="74">
        <v>0</v>
      </c>
      <c r="AB31" s="74">
        <v>0</v>
      </c>
      <c r="AC31" s="74">
        <v>0</v>
      </c>
      <c r="AD31" s="74">
        <v>0</v>
      </c>
      <c r="AE31" s="74">
        <v>0</v>
      </c>
      <c r="AF31" s="74">
        <v>0</v>
      </c>
      <c r="AG31" s="74">
        <v>0</v>
      </c>
      <c r="AH31" s="74">
        <v>0</v>
      </c>
      <c r="AI31" s="74">
        <v>0</v>
      </c>
      <c r="AJ31" s="74" t="s">
        <v>12</v>
      </c>
    </row>
    <row r="32" spans="1:36" x14ac:dyDescent="0.35">
      <c r="A32" s="74" t="s">
        <v>1106</v>
      </c>
      <c r="B32" s="74" t="s">
        <v>1105</v>
      </c>
      <c r="C32" s="74" t="s">
        <v>1104</v>
      </c>
      <c r="D32" s="74" t="s">
        <v>1038</v>
      </c>
      <c r="F32" s="74">
        <v>64.351562000000001</v>
      </c>
      <c r="G32" s="74">
        <v>76.343704000000002</v>
      </c>
      <c r="H32" s="74">
        <v>83.677406000000005</v>
      </c>
      <c r="I32" s="74">
        <v>86.766829999999999</v>
      </c>
      <c r="J32" s="74">
        <v>88.447577999999993</v>
      </c>
      <c r="K32" s="74">
        <v>89.983749000000003</v>
      </c>
      <c r="L32" s="74">
        <v>90.475303999999994</v>
      </c>
      <c r="M32" s="74">
        <v>90.333916000000002</v>
      </c>
      <c r="N32" s="74">
        <v>90.615607999999995</v>
      </c>
      <c r="O32" s="74">
        <v>91.118049999999997</v>
      </c>
      <c r="P32" s="74">
        <v>92.735596000000001</v>
      </c>
      <c r="Q32" s="74">
        <v>93.126434000000003</v>
      </c>
      <c r="R32" s="74">
        <v>93.842635999999999</v>
      </c>
      <c r="S32" s="74">
        <v>94.218857</v>
      </c>
      <c r="T32" s="74">
        <v>94.469916999999995</v>
      </c>
      <c r="U32" s="74">
        <v>95.252257999999998</v>
      </c>
      <c r="V32" s="74">
        <v>96.404221000000007</v>
      </c>
      <c r="W32" s="74">
        <v>97.619956999999999</v>
      </c>
      <c r="X32" s="74">
        <v>98.960578999999996</v>
      </c>
      <c r="Y32" s="74">
        <v>100.75005299999999</v>
      </c>
      <c r="Z32" s="74">
        <v>101.801575</v>
      </c>
      <c r="AA32" s="74">
        <v>102.610016</v>
      </c>
      <c r="AB32" s="74">
        <v>103.711067</v>
      </c>
      <c r="AC32" s="74">
        <v>104.61917099999999</v>
      </c>
      <c r="AD32" s="74">
        <v>105.944016</v>
      </c>
      <c r="AE32" s="74">
        <v>107.227242</v>
      </c>
      <c r="AF32" s="74">
        <v>107.79188499999999</v>
      </c>
      <c r="AG32" s="74">
        <v>108.441193</v>
      </c>
      <c r="AH32" s="74">
        <v>109.49123400000001</v>
      </c>
      <c r="AI32" s="74">
        <v>110.56321</v>
      </c>
      <c r="AJ32" s="160">
        <v>1.9E-2</v>
      </c>
    </row>
    <row r="33" spans="1:36" x14ac:dyDescent="0.35">
      <c r="A33" s="74" t="s">
        <v>1103</v>
      </c>
      <c r="B33" s="74" t="s">
        <v>1102</v>
      </c>
      <c r="C33" s="74" t="s">
        <v>1101</v>
      </c>
      <c r="D33" s="74" t="s">
        <v>1038</v>
      </c>
      <c r="F33" s="74">
        <v>7.4269999999999996E-3</v>
      </c>
      <c r="G33" s="74">
        <v>4.3969999999999999E-3</v>
      </c>
      <c r="H33" s="74">
        <v>3.6329999999999999E-3</v>
      </c>
      <c r="I33" s="74">
        <v>3.761E-3</v>
      </c>
      <c r="J33" s="74">
        <v>3.7109999999999999E-3</v>
      </c>
      <c r="K33" s="74">
        <v>3.7299999999999998E-3</v>
      </c>
      <c r="L33" s="74">
        <v>3.728E-3</v>
      </c>
      <c r="M33" s="74">
        <v>3.7169999999999998E-3</v>
      </c>
      <c r="N33" s="74">
        <v>3.6289999999999998E-3</v>
      </c>
      <c r="O33" s="74">
        <v>3.6310000000000001E-3</v>
      </c>
      <c r="P33" s="74">
        <v>2.3999999999999998E-3</v>
      </c>
      <c r="Q33" s="74">
        <v>2.31E-3</v>
      </c>
      <c r="R33" s="74">
        <v>2.111E-3</v>
      </c>
      <c r="S33" s="74">
        <v>2.039E-3</v>
      </c>
      <c r="T33" s="74">
        <v>1.9819999999999998E-3</v>
      </c>
      <c r="U33" s="74">
        <v>1.931E-3</v>
      </c>
      <c r="V33" s="74">
        <v>1.903E-3</v>
      </c>
      <c r="W33" s="74">
        <v>1.895E-3</v>
      </c>
      <c r="X33" s="74">
        <v>1.8370000000000001E-3</v>
      </c>
      <c r="Y33" s="74">
        <v>1.8389999999999999E-3</v>
      </c>
      <c r="Z33" s="74">
        <v>1.8129999999999999E-3</v>
      </c>
      <c r="AA33" s="74">
        <v>1.8309999999999999E-3</v>
      </c>
      <c r="AB33" s="74">
        <v>1.8879999999999999E-3</v>
      </c>
      <c r="AC33" s="74">
        <v>1.934E-3</v>
      </c>
      <c r="AD33" s="74">
        <v>1.9589999999999998E-3</v>
      </c>
      <c r="AE33" s="74">
        <v>2.0079999999999998E-3</v>
      </c>
      <c r="AF33" s="74">
        <v>2.0279999999999999E-3</v>
      </c>
      <c r="AG33" s="74">
        <v>2.0560000000000001E-3</v>
      </c>
      <c r="AH33" s="74">
        <v>2.081E-3</v>
      </c>
      <c r="AI33" s="74">
        <v>2.111E-3</v>
      </c>
      <c r="AJ33" s="160">
        <v>-4.2000000000000003E-2</v>
      </c>
    </row>
    <row r="34" spans="1:36" x14ac:dyDescent="0.35">
      <c r="A34" s="74" t="s">
        <v>1100</v>
      </c>
      <c r="B34" s="74" t="s">
        <v>1099</v>
      </c>
      <c r="C34" s="74" t="s">
        <v>1098</v>
      </c>
      <c r="D34" s="74" t="s">
        <v>1038</v>
      </c>
      <c r="F34" s="74">
        <v>2.6380000000000002E-3</v>
      </c>
      <c r="G34" s="74">
        <v>2.9039999999999999E-3</v>
      </c>
      <c r="H34" s="74">
        <v>2.836E-3</v>
      </c>
      <c r="I34" s="74">
        <v>3.117E-3</v>
      </c>
      <c r="J34" s="74">
        <v>3.228E-3</v>
      </c>
      <c r="K34" s="74">
        <v>3.3999999999999998E-3</v>
      </c>
      <c r="L34" s="74">
        <v>3.5249999999999999E-3</v>
      </c>
      <c r="M34" s="74">
        <v>3.5980000000000001E-3</v>
      </c>
      <c r="N34" s="74">
        <v>3.6319999999999998E-3</v>
      </c>
      <c r="O34" s="74">
        <v>3.784E-3</v>
      </c>
      <c r="P34" s="74">
        <v>2.9030000000000002E-3</v>
      </c>
      <c r="Q34" s="74">
        <v>2.9299999999999999E-3</v>
      </c>
      <c r="R34" s="74">
        <v>2.8349999999999998E-3</v>
      </c>
      <c r="S34" s="74">
        <v>2.8700000000000002E-3</v>
      </c>
      <c r="T34" s="74">
        <v>2.9250000000000001E-3</v>
      </c>
      <c r="U34" s="74">
        <v>2.98E-3</v>
      </c>
      <c r="V34" s="74">
        <v>3.0490000000000001E-3</v>
      </c>
      <c r="W34" s="74">
        <v>3.1800000000000001E-3</v>
      </c>
      <c r="X34" s="74">
        <v>3.2209999999999999E-3</v>
      </c>
      <c r="Y34" s="74">
        <v>3.369E-3</v>
      </c>
      <c r="Z34" s="74">
        <v>3.441E-3</v>
      </c>
      <c r="AA34" s="74">
        <v>3.5130000000000001E-3</v>
      </c>
      <c r="AB34" s="74">
        <v>3.669E-3</v>
      </c>
      <c r="AC34" s="74">
        <v>3.7910000000000001E-3</v>
      </c>
      <c r="AD34" s="74">
        <v>3.8920000000000001E-3</v>
      </c>
      <c r="AE34" s="74">
        <v>4.0390000000000001E-3</v>
      </c>
      <c r="AF34" s="74">
        <v>4.1029999999999999E-3</v>
      </c>
      <c r="AG34" s="74">
        <v>4.1710000000000002E-3</v>
      </c>
      <c r="AH34" s="74">
        <v>4.2560000000000002E-3</v>
      </c>
      <c r="AI34" s="74">
        <v>4.3689999999999996E-3</v>
      </c>
      <c r="AJ34" s="160">
        <v>1.7999999999999999E-2</v>
      </c>
    </row>
    <row r="35" spans="1:36" x14ac:dyDescent="0.35">
      <c r="A35" s="74" t="s">
        <v>1097</v>
      </c>
      <c r="B35" s="74" t="s">
        <v>1096</v>
      </c>
      <c r="C35" s="74" t="s">
        <v>1095</v>
      </c>
      <c r="D35" s="74" t="s">
        <v>1038</v>
      </c>
      <c r="F35" s="74">
        <v>8.2414000000000001E-2</v>
      </c>
      <c r="G35" s="74">
        <v>0.12077400000000001</v>
      </c>
      <c r="H35" s="74">
        <v>0.13164699999999999</v>
      </c>
      <c r="I35" s="74">
        <v>0.13900299999999999</v>
      </c>
      <c r="J35" s="74">
        <v>0.14557899999999999</v>
      </c>
      <c r="K35" s="74">
        <v>0.15341099999999999</v>
      </c>
      <c r="L35" s="74">
        <v>0.15775600000000001</v>
      </c>
      <c r="M35" s="74">
        <v>0.158972</v>
      </c>
      <c r="N35" s="74">
        <v>0.16150900000000001</v>
      </c>
      <c r="O35" s="74">
        <v>0.165298</v>
      </c>
      <c r="P35" s="74">
        <v>0.172712</v>
      </c>
      <c r="Q35" s="74">
        <v>0.17475599999999999</v>
      </c>
      <c r="R35" s="74">
        <v>0.17798600000000001</v>
      </c>
      <c r="S35" s="74">
        <v>0.18188099999999999</v>
      </c>
      <c r="T35" s="74">
        <v>0.185587</v>
      </c>
      <c r="U35" s="74">
        <v>0.190806</v>
      </c>
      <c r="V35" s="74">
        <v>0.19650400000000001</v>
      </c>
      <c r="W35" s="74">
        <v>0.20388800000000001</v>
      </c>
      <c r="X35" s="74">
        <v>0.210231</v>
      </c>
      <c r="Y35" s="74">
        <v>0.21860099999999999</v>
      </c>
      <c r="Z35" s="74">
        <v>0.22625999999999999</v>
      </c>
      <c r="AA35" s="74">
        <v>0.23455799999999999</v>
      </c>
      <c r="AB35" s="74">
        <v>0.244669</v>
      </c>
      <c r="AC35" s="74">
        <v>0.25387999999999999</v>
      </c>
      <c r="AD35" s="74">
        <v>0.26555299999999998</v>
      </c>
      <c r="AE35" s="74">
        <v>0.27809400000000001</v>
      </c>
      <c r="AF35" s="74">
        <v>0.28822399999999998</v>
      </c>
      <c r="AG35" s="74">
        <v>0.298236</v>
      </c>
      <c r="AH35" s="74">
        <v>0.31171599999999999</v>
      </c>
      <c r="AI35" s="74">
        <v>0.32724399999999998</v>
      </c>
      <c r="AJ35" s="160">
        <v>4.9000000000000002E-2</v>
      </c>
    </row>
    <row r="36" spans="1:36" x14ac:dyDescent="0.35">
      <c r="A36" s="74" t="s">
        <v>1094</v>
      </c>
      <c r="B36" s="74" t="s">
        <v>1093</v>
      </c>
      <c r="C36" s="74" t="s">
        <v>1092</v>
      </c>
      <c r="D36" s="74" t="s">
        <v>1038</v>
      </c>
      <c r="F36" s="74">
        <v>1.127E-3</v>
      </c>
      <c r="G36" s="74">
        <v>1.1559999999999999E-3</v>
      </c>
      <c r="H36" s="74">
        <v>1.286E-3</v>
      </c>
      <c r="I36" s="74">
        <v>1.3760000000000001E-3</v>
      </c>
      <c r="J36" s="74">
        <v>1.4159999999999999E-3</v>
      </c>
      <c r="K36" s="74">
        <v>1.4840000000000001E-3</v>
      </c>
      <c r="L36" s="74">
        <v>1.4920000000000001E-3</v>
      </c>
      <c r="M36" s="74">
        <v>1.4469999999999999E-3</v>
      </c>
      <c r="N36" s="74">
        <v>1.4319999999999999E-3</v>
      </c>
      <c r="O36" s="74">
        <v>1.4580000000000001E-3</v>
      </c>
      <c r="P36" s="74">
        <v>1.6720000000000001E-3</v>
      </c>
      <c r="Q36" s="74">
        <v>1.652E-3</v>
      </c>
      <c r="R36" s="74">
        <v>1.6739999999999999E-3</v>
      </c>
      <c r="S36" s="74">
        <v>1.678E-3</v>
      </c>
      <c r="T36" s="74">
        <v>1.6869999999999999E-3</v>
      </c>
      <c r="U36" s="74">
        <v>1.6999999999999999E-3</v>
      </c>
      <c r="V36" s="74">
        <v>1.712E-3</v>
      </c>
      <c r="W36" s="74">
        <v>1.7750000000000001E-3</v>
      </c>
      <c r="X36" s="74">
        <v>1.7819999999999999E-3</v>
      </c>
      <c r="Y36" s="74">
        <v>1.8289999999999999E-3</v>
      </c>
      <c r="Z36" s="74">
        <v>1.8580000000000001E-3</v>
      </c>
      <c r="AA36" s="74">
        <v>1.895E-3</v>
      </c>
      <c r="AB36" s="74">
        <v>1.9599999999999999E-3</v>
      </c>
      <c r="AC36" s="74">
        <v>2.003E-3</v>
      </c>
      <c r="AD36" s="74">
        <v>2.0720000000000001E-3</v>
      </c>
      <c r="AE36" s="74">
        <v>2.1519999999999998E-3</v>
      </c>
      <c r="AF36" s="74">
        <v>2.1840000000000002E-3</v>
      </c>
      <c r="AG36" s="74">
        <v>2.1909999999999998E-3</v>
      </c>
      <c r="AH36" s="74">
        <v>2.2460000000000002E-3</v>
      </c>
      <c r="AI36" s="74">
        <v>2.3240000000000001E-3</v>
      </c>
      <c r="AJ36" s="160">
        <v>2.5000000000000001E-2</v>
      </c>
    </row>
    <row r="37" spans="1:36" x14ac:dyDescent="0.35">
      <c r="A37" s="74" t="s">
        <v>82</v>
      </c>
      <c r="B37" s="74" t="s">
        <v>1091</v>
      </c>
      <c r="C37" s="74" t="s">
        <v>1090</v>
      </c>
      <c r="D37" s="74" t="s">
        <v>1038</v>
      </c>
      <c r="F37" s="74">
        <v>0</v>
      </c>
      <c r="G37" s="74">
        <v>0</v>
      </c>
      <c r="H37" s="74">
        <v>0</v>
      </c>
      <c r="I37" s="74">
        <v>0</v>
      </c>
      <c r="J37" s="74">
        <v>0</v>
      </c>
      <c r="K37" s="74">
        <v>0</v>
      </c>
      <c r="L37" s="74">
        <v>0</v>
      </c>
      <c r="M37" s="74">
        <v>0</v>
      </c>
      <c r="N37" s="74">
        <v>0</v>
      </c>
      <c r="O37" s="74">
        <v>0</v>
      </c>
      <c r="P37" s="74">
        <v>0</v>
      </c>
      <c r="Q37" s="74">
        <v>0</v>
      </c>
      <c r="R37" s="74">
        <v>0</v>
      </c>
      <c r="S37" s="74">
        <v>0</v>
      </c>
      <c r="T37" s="74">
        <v>0</v>
      </c>
      <c r="U37" s="74">
        <v>0</v>
      </c>
      <c r="V37" s="74">
        <v>0</v>
      </c>
      <c r="W37" s="74">
        <v>0</v>
      </c>
      <c r="X37" s="74">
        <v>0</v>
      </c>
      <c r="Y37" s="74">
        <v>0</v>
      </c>
      <c r="Z37" s="74">
        <v>0</v>
      </c>
      <c r="AA37" s="74">
        <v>0</v>
      </c>
      <c r="AB37" s="74">
        <v>0</v>
      </c>
      <c r="AC37" s="74">
        <v>0</v>
      </c>
      <c r="AD37" s="74">
        <v>0</v>
      </c>
      <c r="AE37" s="74">
        <v>0</v>
      </c>
      <c r="AF37" s="74">
        <v>0</v>
      </c>
      <c r="AG37" s="74">
        <v>0</v>
      </c>
      <c r="AH37" s="74">
        <v>0</v>
      </c>
      <c r="AI37" s="74">
        <v>0</v>
      </c>
      <c r="AJ37" s="74" t="s">
        <v>12</v>
      </c>
    </row>
    <row r="38" spans="1:36" x14ac:dyDescent="0.35">
      <c r="A38" s="74" t="s">
        <v>69</v>
      </c>
      <c r="B38" s="74" t="s">
        <v>1089</v>
      </c>
      <c r="C38" s="74" t="s">
        <v>1088</v>
      </c>
      <c r="D38" s="74" t="s">
        <v>1038</v>
      </c>
      <c r="F38" s="74">
        <v>1.1E-4</v>
      </c>
      <c r="G38" s="74">
        <v>5.7799999999999995E-4</v>
      </c>
      <c r="H38" s="74">
        <v>1.1000000000000001E-3</v>
      </c>
      <c r="I38" s="74">
        <v>1.6670000000000001E-3</v>
      </c>
      <c r="J38" s="74">
        <v>2.5609999999999999E-3</v>
      </c>
      <c r="K38" s="74">
        <v>3.3219999999999999E-3</v>
      </c>
      <c r="L38" s="74">
        <v>4.1149999999999997E-3</v>
      </c>
      <c r="M38" s="74">
        <v>4.9459999999999999E-3</v>
      </c>
      <c r="N38" s="74">
        <v>5.8770000000000003E-3</v>
      </c>
      <c r="O38" s="74">
        <v>6.9049999999999997E-3</v>
      </c>
      <c r="P38" s="74">
        <v>8.1069999999999996E-3</v>
      </c>
      <c r="Q38" s="74">
        <v>9.2700000000000005E-3</v>
      </c>
      <c r="R38" s="74">
        <v>1.0602E-2</v>
      </c>
      <c r="S38" s="74">
        <v>1.2005999999999999E-2</v>
      </c>
      <c r="T38" s="74">
        <v>1.3535E-2</v>
      </c>
      <c r="U38" s="74">
        <v>1.5266999999999999E-2</v>
      </c>
      <c r="V38" s="74">
        <v>1.7211000000000001E-2</v>
      </c>
      <c r="W38" s="74">
        <v>1.9345999999999999E-2</v>
      </c>
      <c r="X38" s="74">
        <v>2.1694000000000001E-2</v>
      </c>
      <c r="Y38" s="74">
        <v>2.4389999999999998E-2</v>
      </c>
      <c r="Z38" s="74">
        <v>2.7073E-2</v>
      </c>
      <c r="AA38" s="74">
        <v>2.9829999999999999E-2</v>
      </c>
      <c r="AB38" s="74">
        <v>3.2881000000000001E-2</v>
      </c>
      <c r="AC38" s="74">
        <v>3.6262999999999997E-2</v>
      </c>
      <c r="AD38" s="74">
        <v>3.9988999999999997E-2</v>
      </c>
      <c r="AE38" s="74">
        <v>4.3936000000000003E-2</v>
      </c>
      <c r="AF38" s="74">
        <v>4.7681000000000001E-2</v>
      </c>
      <c r="AG38" s="74">
        <v>5.1461E-2</v>
      </c>
      <c r="AH38" s="74">
        <v>5.5553999999999999E-2</v>
      </c>
      <c r="AI38" s="74">
        <v>5.9777999999999998E-2</v>
      </c>
      <c r="AJ38" s="160">
        <v>0.24299999999999999</v>
      </c>
    </row>
    <row r="39" spans="1:36" x14ac:dyDescent="0.35">
      <c r="A39" s="74" t="s">
        <v>1087</v>
      </c>
      <c r="B39" s="74" t="s">
        <v>1086</v>
      </c>
      <c r="C39" s="74" t="s">
        <v>1085</v>
      </c>
      <c r="D39" s="74" t="s">
        <v>1038</v>
      </c>
      <c r="F39" s="74">
        <v>166.43583699999999</v>
      </c>
      <c r="G39" s="74">
        <v>197.528122</v>
      </c>
      <c r="H39" s="74">
        <v>218.72010800000001</v>
      </c>
      <c r="I39" s="74">
        <v>231.624313</v>
      </c>
      <c r="J39" s="74">
        <v>238.660706</v>
      </c>
      <c r="K39" s="74">
        <v>244.33708200000001</v>
      </c>
      <c r="L39" s="74">
        <v>247.45507799999999</v>
      </c>
      <c r="M39" s="74">
        <v>248.82723999999999</v>
      </c>
      <c r="N39" s="74">
        <v>252.184967</v>
      </c>
      <c r="O39" s="74">
        <v>255.90193199999999</v>
      </c>
      <c r="P39" s="74">
        <v>264.51211499999999</v>
      </c>
      <c r="Q39" s="74">
        <v>269.53509500000001</v>
      </c>
      <c r="R39" s="74">
        <v>275.83609000000001</v>
      </c>
      <c r="S39" s="74">
        <v>280.70275900000001</v>
      </c>
      <c r="T39" s="74">
        <v>285.35372899999999</v>
      </c>
      <c r="U39" s="74">
        <v>291.41162100000003</v>
      </c>
      <c r="V39" s="74">
        <v>298.4599</v>
      </c>
      <c r="W39" s="74">
        <v>305.87329099999999</v>
      </c>
      <c r="X39" s="74">
        <v>313.383667</v>
      </c>
      <c r="Y39" s="74">
        <v>322.602509</v>
      </c>
      <c r="Z39" s="74">
        <v>329.32333399999999</v>
      </c>
      <c r="AA39" s="74">
        <v>334.90158100000002</v>
      </c>
      <c r="AB39" s="74">
        <v>341.77615400000002</v>
      </c>
      <c r="AC39" s="74">
        <v>347.84347500000001</v>
      </c>
      <c r="AD39" s="74">
        <v>355.18014499999998</v>
      </c>
      <c r="AE39" s="74">
        <v>362.43460099999999</v>
      </c>
      <c r="AF39" s="74">
        <v>366.95764200000002</v>
      </c>
      <c r="AG39" s="74">
        <v>371.54525799999999</v>
      </c>
      <c r="AH39" s="74">
        <v>377.53942899999998</v>
      </c>
      <c r="AI39" s="74">
        <v>383.74835200000001</v>
      </c>
      <c r="AJ39" s="160">
        <v>2.9000000000000001E-2</v>
      </c>
    </row>
    <row r="40" spans="1:36" x14ac:dyDescent="0.35">
      <c r="A40" s="74" t="s">
        <v>851</v>
      </c>
      <c r="B40" s="74" t="s">
        <v>1084</v>
      </c>
      <c r="C40" s="74" t="s">
        <v>1083</v>
      </c>
      <c r="D40" s="74" t="s">
        <v>979</v>
      </c>
      <c r="F40" s="74">
        <v>13.287827999999999</v>
      </c>
      <c r="G40" s="74">
        <v>15.243914999999999</v>
      </c>
      <c r="H40" s="74">
        <v>16.233630999999999</v>
      </c>
      <c r="I40" s="74">
        <v>16.876101999999999</v>
      </c>
      <c r="J40" s="74">
        <v>17.078627000000001</v>
      </c>
      <c r="K40" s="74">
        <v>17.201312999999999</v>
      </c>
      <c r="L40" s="74">
        <v>17.380365000000001</v>
      </c>
      <c r="M40" s="74">
        <v>17.586114999999999</v>
      </c>
      <c r="N40" s="74">
        <v>17.842002999999998</v>
      </c>
      <c r="O40" s="74">
        <v>18.170925</v>
      </c>
      <c r="P40" s="74">
        <v>19.321778999999999</v>
      </c>
      <c r="Q40" s="74">
        <v>19.79401</v>
      </c>
      <c r="R40" s="74">
        <v>20.363968</v>
      </c>
      <c r="S40" s="74">
        <v>20.773417999999999</v>
      </c>
      <c r="T40" s="74">
        <v>21.157717000000002</v>
      </c>
      <c r="U40" s="74">
        <v>21.539145999999999</v>
      </c>
      <c r="V40" s="74">
        <v>21.895472999999999</v>
      </c>
      <c r="W40" s="74">
        <v>22.311063999999998</v>
      </c>
      <c r="X40" s="74">
        <v>22.633424999999999</v>
      </c>
      <c r="Y40" s="74">
        <v>23.029499000000001</v>
      </c>
      <c r="Z40" s="74">
        <v>23.367235000000001</v>
      </c>
      <c r="AA40" s="74">
        <v>23.645852999999999</v>
      </c>
      <c r="AB40" s="74">
        <v>23.986172</v>
      </c>
      <c r="AC40" s="74">
        <v>24.304537</v>
      </c>
      <c r="AD40" s="74">
        <v>24.587675000000001</v>
      </c>
      <c r="AE40" s="74">
        <v>24.880942999999998</v>
      </c>
      <c r="AF40" s="74">
        <v>25.101700000000001</v>
      </c>
      <c r="AG40" s="74">
        <v>25.282118000000001</v>
      </c>
      <c r="AH40" s="74">
        <v>25.468613000000001</v>
      </c>
      <c r="AI40" s="74">
        <v>25.675523999999999</v>
      </c>
      <c r="AJ40" s="160">
        <v>2.3E-2</v>
      </c>
    </row>
    <row r="41" spans="1:36" x14ac:dyDescent="0.35">
      <c r="A41" s="74" t="s">
        <v>849</v>
      </c>
      <c r="B41" s="74" t="s">
        <v>1082</v>
      </c>
      <c r="C41" s="74" t="s">
        <v>1081</v>
      </c>
      <c r="D41" s="74" t="s">
        <v>1038</v>
      </c>
      <c r="F41" s="74">
        <v>1252.543457</v>
      </c>
      <c r="G41" s="74">
        <v>1295.783447</v>
      </c>
      <c r="H41" s="74">
        <v>1347.3270259999999</v>
      </c>
      <c r="I41" s="74">
        <v>1372.4989009999999</v>
      </c>
      <c r="J41" s="74">
        <v>1397.4233400000001</v>
      </c>
      <c r="K41" s="74">
        <v>1420.455933</v>
      </c>
      <c r="L41" s="74">
        <v>1423.762207</v>
      </c>
      <c r="M41" s="74">
        <v>1414.9073490000001</v>
      </c>
      <c r="N41" s="74">
        <v>1413.4342039999999</v>
      </c>
      <c r="O41" s="74">
        <v>1408.3043210000001</v>
      </c>
      <c r="P41" s="74">
        <v>1368.9842530000001</v>
      </c>
      <c r="Q41" s="74">
        <v>1361.7001949999999</v>
      </c>
      <c r="R41" s="74">
        <v>1354.5302730000001</v>
      </c>
      <c r="S41" s="74">
        <v>1351.259399</v>
      </c>
      <c r="T41" s="74">
        <v>1348.69812</v>
      </c>
      <c r="U41" s="74">
        <v>1352.939453</v>
      </c>
      <c r="V41" s="74">
        <v>1363.1123050000001</v>
      </c>
      <c r="W41" s="74">
        <v>1370.948975</v>
      </c>
      <c r="X41" s="74">
        <v>1384.605591</v>
      </c>
      <c r="Y41" s="74">
        <v>1400.8229980000001</v>
      </c>
      <c r="Z41" s="74">
        <v>1409.338013</v>
      </c>
      <c r="AA41" s="74">
        <v>1416.322754</v>
      </c>
      <c r="AB41" s="74">
        <v>1424.8883060000001</v>
      </c>
      <c r="AC41" s="74">
        <v>1431.1875</v>
      </c>
      <c r="AD41" s="74">
        <v>1444.5454099999999</v>
      </c>
      <c r="AE41" s="74">
        <v>1456.6755370000001</v>
      </c>
      <c r="AF41" s="74">
        <v>1461.8835449999999</v>
      </c>
      <c r="AG41" s="74">
        <v>1469.5970460000001</v>
      </c>
      <c r="AH41" s="74">
        <v>1482.3714600000001</v>
      </c>
      <c r="AI41" s="74">
        <v>1494.6076660000001</v>
      </c>
      <c r="AJ41" s="160">
        <v>6.0000000000000001E-3</v>
      </c>
    </row>
    <row r="42" spans="1:36" x14ac:dyDescent="0.35">
      <c r="A42" s="74" t="s">
        <v>852</v>
      </c>
      <c r="B42" s="74" t="s">
        <v>1080</v>
      </c>
      <c r="C42" s="74" t="s">
        <v>1079</v>
      </c>
      <c r="D42" s="74" t="s">
        <v>979</v>
      </c>
      <c r="F42" s="74">
        <v>13.188402</v>
      </c>
      <c r="G42" s="74">
        <v>15.022371</v>
      </c>
      <c r="H42" s="74">
        <v>16.196197999999999</v>
      </c>
      <c r="I42" s="74">
        <v>16.924637000000001</v>
      </c>
      <c r="J42" s="74">
        <v>17.143599999999999</v>
      </c>
      <c r="K42" s="74">
        <v>17.303699000000002</v>
      </c>
      <c r="L42" s="74">
        <v>17.531321999999999</v>
      </c>
      <c r="M42" s="74">
        <v>17.777743999999998</v>
      </c>
      <c r="N42" s="74">
        <v>18.084842999999999</v>
      </c>
      <c r="O42" s="74">
        <v>18.497955000000001</v>
      </c>
      <c r="P42" s="74">
        <v>19.693038999999999</v>
      </c>
      <c r="Q42" s="74">
        <v>20.257625999999998</v>
      </c>
      <c r="R42" s="74">
        <v>20.885974999999998</v>
      </c>
      <c r="S42" s="74">
        <v>21.366700999999999</v>
      </c>
      <c r="T42" s="74">
        <v>21.823965000000001</v>
      </c>
      <c r="U42" s="74">
        <v>22.273136000000001</v>
      </c>
      <c r="V42" s="74">
        <v>22.69566</v>
      </c>
      <c r="W42" s="74">
        <v>23.178818</v>
      </c>
      <c r="X42" s="74">
        <v>23.571871000000002</v>
      </c>
      <c r="Y42" s="74">
        <v>24.034500000000001</v>
      </c>
      <c r="Z42" s="74">
        <v>24.470860999999999</v>
      </c>
      <c r="AA42" s="74">
        <v>24.817900000000002</v>
      </c>
      <c r="AB42" s="74">
        <v>25.228505999999999</v>
      </c>
      <c r="AC42" s="74">
        <v>25.617287000000001</v>
      </c>
      <c r="AD42" s="74">
        <v>25.972059000000002</v>
      </c>
      <c r="AE42" s="74">
        <v>26.339932999999998</v>
      </c>
      <c r="AF42" s="74">
        <v>26.636738000000001</v>
      </c>
      <c r="AG42" s="74">
        <v>26.890343000000001</v>
      </c>
      <c r="AH42" s="74">
        <v>27.149619999999999</v>
      </c>
      <c r="AI42" s="74">
        <v>27.432993</v>
      </c>
      <c r="AJ42" s="160">
        <v>2.5999999999999999E-2</v>
      </c>
    </row>
    <row r="43" spans="1:36" x14ac:dyDescent="0.35">
      <c r="A43" s="74" t="s">
        <v>853</v>
      </c>
      <c r="B43" s="74" t="s">
        <v>1078</v>
      </c>
      <c r="C43" s="74" t="s">
        <v>1077</v>
      </c>
      <c r="D43" s="74" t="s">
        <v>1038</v>
      </c>
      <c r="F43" s="74">
        <v>12.462599000000001</v>
      </c>
      <c r="G43" s="74">
        <v>12.994994</v>
      </c>
      <c r="H43" s="74">
        <v>13.550539000000001</v>
      </c>
      <c r="I43" s="74">
        <v>13.981374000000001</v>
      </c>
      <c r="J43" s="74">
        <v>14.443198000000001</v>
      </c>
      <c r="K43" s="74">
        <v>15.061208000000001</v>
      </c>
      <c r="L43" s="74">
        <v>15.552042999999999</v>
      </c>
      <c r="M43" s="74">
        <v>15.979983000000001</v>
      </c>
      <c r="N43" s="74">
        <v>16.492224</v>
      </c>
      <c r="O43" s="74">
        <v>17.013846999999998</v>
      </c>
      <c r="P43" s="74">
        <v>17.540506000000001</v>
      </c>
      <c r="Q43" s="74">
        <v>18.087109000000002</v>
      </c>
      <c r="R43" s="74">
        <v>18.649103</v>
      </c>
      <c r="S43" s="74">
        <v>19.179569000000001</v>
      </c>
      <c r="T43" s="74">
        <v>19.677866000000002</v>
      </c>
      <c r="U43" s="74">
        <v>20.257687000000001</v>
      </c>
      <c r="V43" s="74">
        <v>20.911301000000002</v>
      </c>
      <c r="W43" s="74">
        <v>21.555302000000001</v>
      </c>
      <c r="X43" s="74">
        <v>22.231691000000001</v>
      </c>
      <c r="Y43" s="74">
        <v>22.993113999999998</v>
      </c>
      <c r="Z43" s="74">
        <v>23.619637000000001</v>
      </c>
      <c r="AA43" s="74">
        <v>24.193579</v>
      </c>
      <c r="AB43" s="74">
        <v>24.835000999999998</v>
      </c>
      <c r="AC43" s="74">
        <v>25.445067999999999</v>
      </c>
      <c r="AD43" s="74">
        <v>26.157948999999999</v>
      </c>
      <c r="AE43" s="74">
        <v>26.864466</v>
      </c>
      <c r="AF43" s="74">
        <v>27.410616000000001</v>
      </c>
      <c r="AG43" s="74">
        <v>27.964652999999998</v>
      </c>
      <c r="AH43" s="74">
        <v>28.614747999999999</v>
      </c>
      <c r="AI43" s="74">
        <v>29.225649000000001</v>
      </c>
      <c r="AJ43" s="160">
        <v>0.03</v>
      </c>
    </row>
    <row r="44" spans="1:36" x14ac:dyDescent="0.35">
      <c r="A44" s="74" t="s">
        <v>854</v>
      </c>
      <c r="B44" s="74" t="s">
        <v>1076</v>
      </c>
      <c r="C44" s="74" t="s">
        <v>1075</v>
      </c>
      <c r="D44" s="74" t="s">
        <v>1038</v>
      </c>
      <c r="F44" s="74">
        <v>0</v>
      </c>
      <c r="G44" s="74">
        <v>0</v>
      </c>
      <c r="H44" s="74">
        <v>0</v>
      </c>
      <c r="I44" s="74">
        <v>0</v>
      </c>
      <c r="J44" s="74">
        <v>0</v>
      </c>
      <c r="K44" s="74">
        <v>0</v>
      </c>
      <c r="L44" s="74">
        <v>0</v>
      </c>
      <c r="M44" s="74">
        <v>0</v>
      </c>
      <c r="N44" s="74">
        <v>0</v>
      </c>
      <c r="O44" s="74">
        <v>0</v>
      </c>
      <c r="P44" s="74">
        <v>0</v>
      </c>
      <c r="Q44" s="74">
        <v>0</v>
      </c>
      <c r="R44" s="74">
        <v>0</v>
      </c>
      <c r="S44" s="74">
        <v>0</v>
      </c>
      <c r="T44" s="74">
        <v>0</v>
      </c>
      <c r="U44" s="74">
        <v>0</v>
      </c>
      <c r="V44" s="74">
        <v>0</v>
      </c>
      <c r="W44" s="74">
        <v>0</v>
      </c>
      <c r="X44" s="74">
        <v>0</v>
      </c>
      <c r="Y44" s="74">
        <v>0</v>
      </c>
      <c r="Z44" s="74">
        <v>0</v>
      </c>
      <c r="AA44" s="74">
        <v>0</v>
      </c>
      <c r="AB44" s="74">
        <v>0</v>
      </c>
      <c r="AC44" s="74">
        <v>0</v>
      </c>
      <c r="AD44" s="74">
        <v>0</v>
      </c>
      <c r="AE44" s="74">
        <v>0</v>
      </c>
      <c r="AF44" s="74">
        <v>0</v>
      </c>
      <c r="AG44" s="74">
        <v>0</v>
      </c>
      <c r="AH44" s="74">
        <v>0</v>
      </c>
      <c r="AI44" s="74">
        <v>0</v>
      </c>
      <c r="AJ44" s="74" t="s">
        <v>12</v>
      </c>
    </row>
    <row r="45" spans="1:36" x14ac:dyDescent="0.35">
      <c r="A45" s="74" t="s">
        <v>1074</v>
      </c>
      <c r="B45" s="74" t="s">
        <v>1073</v>
      </c>
      <c r="D45" s="74" t="s">
        <v>1072</v>
      </c>
    </row>
    <row r="46" spans="1:36" x14ac:dyDescent="0.35">
      <c r="A46" s="74" t="s">
        <v>1071</v>
      </c>
      <c r="B46" s="74" t="s">
        <v>1070</v>
      </c>
      <c r="C46" s="74" t="s">
        <v>1069</v>
      </c>
      <c r="D46" s="74" t="s">
        <v>1038</v>
      </c>
      <c r="F46" s="74">
        <v>1908.2669679999999</v>
      </c>
      <c r="G46" s="74">
        <v>1866.8828120000001</v>
      </c>
      <c r="H46" s="74">
        <v>1847.119385</v>
      </c>
      <c r="I46" s="74">
        <v>1825.6583250000001</v>
      </c>
      <c r="J46" s="74">
        <v>1815.5850829999999</v>
      </c>
      <c r="K46" s="74">
        <v>1821.9311520000001</v>
      </c>
      <c r="L46" s="74">
        <v>1810.4976810000001</v>
      </c>
      <c r="M46" s="74">
        <v>1788.8865969999999</v>
      </c>
      <c r="N46" s="74">
        <v>1776.0002440000001</v>
      </c>
      <c r="O46" s="74">
        <v>1760.9697269999999</v>
      </c>
      <c r="P46" s="74">
        <v>1732.7561040000001</v>
      </c>
      <c r="Q46" s="74">
        <v>1712.0896</v>
      </c>
      <c r="R46" s="74">
        <v>1698.8295900000001</v>
      </c>
      <c r="S46" s="74">
        <v>1685.9719239999999</v>
      </c>
      <c r="T46" s="74">
        <v>1672.3256839999999</v>
      </c>
      <c r="U46" s="74">
        <v>1665.978149</v>
      </c>
      <c r="V46" s="74">
        <v>1666.3367920000001</v>
      </c>
      <c r="W46" s="74">
        <v>1664.059448</v>
      </c>
      <c r="X46" s="74">
        <v>1666.4097899999999</v>
      </c>
      <c r="Y46" s="74">
        <v>1673.308716</v>
      </c>
      <c r="Z46" s="74">
        <v>1669.8896480000001</v>
      </c>
      <c r="AA46" s="74">
        <v>1665.338745</v>
      </c>
      <c r="AB46" s="74">
        <v>1663.7542719999999</v>
      </c>
      <c r="AC46" s="74">
        <v>1659.7060550000001</v>
      </c>
      <c r="AD46" s="74">
        <v>1663.377563</v>
      </c>
      <c r="AE46" s="74">
        <v>1665.856323</v>
      </c>
      <c r="AF46" s="74">
        <v>1660.154053</v>
      </c>
      <c r="AG46" s="74">
        <v>1656.698975</v>
      </c>
      <c r="AH46" s="74">
        <v>1659.1251219999999</v>
      </c>
      <c r="AI46" s="74">
        <v>1660.8134769999999</v>
      </c>
      <c r="AJ46" s="160">
        <v>-5.0000000000000001E-3</v>
      </c>
    </row>
    <row r="47" spans="1:36" x14ac:dyDescent="0.35">
      <c r="A47" s="74" t="s">
        <v>1068</v>
      </c>
      <c r="B47" s="74" t="s">
        <v>1067</v>
      </c>
      <c r="C47" s="74" t="s">
        <v>1066</v>
      </c>
      <c r="D47" s="74" t="s">
        <v>1038</v>
      </c>
      <c r="F47" s="74">
        <v>8.8897349999999999</v>
      </c>
      <c r="G47" s="74">
        <v>9.7174840000000007</v>
      </c>
      <c r="H47" s="74">
        <v>9.5399510000000003</v>
      </c>
      <c r="I47" s="74">
        <v>9.2133880000000001</v>
      </c>
      <c r="J47" s="74">
        <v>9.244434</v>
      </c>
      <c r="K47" s="74">
        <v>9.5362690000000008</v>
      </c>
      <c r="L47" s="74">
        <v>9.6029409999999995</v>
      </c>
      <c r="M47" s="74">
        <v>9.6131180000000001</v>
      </c>
      <c r="N47" s="74">
        <v>9.6486610000000006</v>
      </c>
      <c r="O47" s="74">
        <v>9.9515209999999996</v>
      </c>
      <c r="P47" s="74">
        <v>10.002528999999999</v>
      </c>
      <c r="Q47" s="74">
        <v>10.031252</v>
      </c>
      <c r="R47" s="74">
        <v>10.00189</v>
      </c>
      <c r="S47" s="74">
        <v>10.005753</v>
      </c>
      <c r="T47" s="74">
        <v>9.906898</v>
      </c>
      <c r="U47" s="74">
        <v>9.9295360000000006</v>
      </c>
      <c r="V47" s="74">
        <v>9.8882429999999992</v>
      </c>
      <c r="W47" s="74">
        <v>10.025978</v>
      </c>
      <c r="X47" s="74">
        <v>10.027162000000001</v>
      </c>
      <c r="Y47" s="74">
        <v>10.200664</v>
      </c>
      <c r="Z47" s="74">
        <v>10.262074</v>
      </c>
      <c r="AA47" s="74">
        <v>10.305918</v>
      </c>
      <c r="AB47" s="74">
        <v>10.339064</v>
      </c>
      <c r="AC47" s="74">
        <v>10.326539</v>
      </c>
      <c r="AD47" s="74">
        <v>10.390566</v>
      </c>
      <c r="AE47" s="74">
        <v>10.508013999999999</v>
      </c>
      <c r="AF47" s="74">
        <v>10.5403</v>
      </c>
      <c r="AG47" s="74">
        <v>10.557515</v>
      </c>
      <c r="AH47" s="74">
        <v>10.634947</v>
      </c>
      <c r="AI47" s="74">
        <v>10.840871999999999</v>
      </c>
      <c r="AJ47" s="160">
        <v>7.0000000000000001E-3</v>
      </c>
    </row>
    <row r="48" spans="1:36" x14ac:dyDescent="0.35">
      <c r="A48" s="74" t="s">
        <v>1065</v>
      </c>
      <c r="B48" s="74" t="s">
        <v>1064</v>
      </c>
      <c r="C48" s="74" t="s">
        <v>1063</v>
      </c>
      <c r="D48" s="74" t="s">
        <v>1038</v>
      </c>
      <c r="F48" s="74">
        <v>71.099670000000003</v>
      </c>
      <c r="G48" s="74">
        <v>71.406104999999997</v>
      </c>
      <c r="H48" s="74">
        <v>72.667884999999998</v>
      </c>
      <c r="I48" s="74">
        <v>73.082008000000002</v>
      </c>
      <c r="J48" s="74">
        <v>73.811577</v>
      </c>
      <c r="K48" s="74">
        <v>74.719848999999996</v>
      </c>
      <c r="L48" s="74">
        <v>74.651893999999999</v>
      </c>
      <c r="M48" s="74">
        <v>73.992973000000006</v>
      </c>
      <c r="N48" s="74">
        <v>73.681015000000002</v>
      </c>
      <c r="O48" s="74">
        <v>73.167038000000005</v>
      </c>
      <c r="P48" s="74">
        <v>70.916908000000006</v>
      </c>
      <c r="Q48" s="74">
        <v>70.204673999999997</v>
      </c>
      <c r="R48" s="74">
        <v>69.532082000000003</v>
      </c>
      <c r="S48" s="74">
        <v>69.073348999999993</v>
      </c>
      <c r="T48" s="74">
        <v>68.661766</v>
      </c>
      <c r="U48" s="74">
        <v>68.573859999999996</v>
      </c>
      <c r="V48" s="74">
        <v>68.773323000000005</v>
      </c>
      <c r="W48" s="74">
        <v>68.845885999999993</v>
      </c>
      <c r="X48" s="74">
        <v>69.219063000000006</v>
      </c>
      <c r="Y48" s="74">
        <v>69.722121999999999</v>
      </c>
      <c r="Z48" s="74">
        <v>69.844291999999996</v>
      </c>
      <c r="AA48" s="74">
        <v>69.912452999999999</v>
      </c>
      <c r="AB48" s="74">
        <v>70.026900999999995</v>
      </c>
      <c r="AC48" s="74">
        <v>70.056647999999996</v>
      </c>
      <c r="AD48" s="74">
        <v>70.447502</v>
      </c>
      <c r="AE48" s="74">
        <v>70.769752999999994</v>
      </c>
      <c r="AF48" s="74">
        <v>70.787689</v>
      </c>
      <c r="AG48" s="74">
        <v>70.963142000000005</v>
      </c>
      <c r="AH48" s="74">
        <v>71.379463000000001</v>
      </c>
      <c r="AI48" s="74">
        <v>71.700226000000001</v>
      </c>
      <c r="AJ48" s="160">
        <v>0</v>
      </c>
    </row>
    <row r="49" spans="1:36" x14ac:dyDescent="0.35">
      <c r="A49" s="74" t="s">
        <v>844</v>
      </c>
      <c r="B49" s="74" t="s">
        <v>1062</v>
      </c>
      <c r="C49" s="74" t="s">
        <v>1061</v>
      </c>
      <c r="D49" s="74" t="s">
        <v>1038</v>
      </c>
      <c r="F49" s="74">
        <v>62.265324</v>
      </c>
      <c r="G49" s="74">
        <v>68.301047999999994</v>
      </c>
      <c r="H49" s="74">
        <v>78.002028999999993</v>
      </c>
      <c r="I49" s="74">
        <v>89.485862999999995</v>
      </c>
      <c r="J49" s="74">
        <v>93.002540999999994</v>
      </c>
      <c r="K49" s="74">
        <v>96.025665000000004</v>
      </c>
      <c r="L49" s="74">
        <v>98.675506999999996</v>
      </c>
      <c r="M49" s="74">
        <v>100.92699399999999</v>
      </c>
      <c r="N49" s="74">
        <v>104.998009</v>
      </c>
      <c r="O49" s="74">
        <v>110.455063</v>
      </c>
      <c r="P49" s="74">
        <v>126.10189800000001</v>
      </c>
      <c r="Q49" s="74">
        <v>133.69418300000001</v>
      </c>
      <c r="R49" s="74">
        <v>143.025848</v>
      </c>
      <c r="S49" s="74">
        <v>150.18901099999999</v>
      </c>
      <c r="T49" s="74">
        <v>157.11149599999999</v>
      </c>
      <c r="U49" s="74">
        <v>164.52124000000001</v>
      </c>
      <c r="V49" s="74">
        <v>172.226822</v>
      </c>
      <c r="W49" s="74">
        <v>180.77156099999999</v>
      </c>
      <c r="X49" s="74">
        <v>188.391571</v>
      </c>
      <c r="Y49" s="74">
        <v>197.845642</v>
      </c>
      <c r="Z49" s="74">
        <v>205.41902200000001</v>
      </c>
      <c r="AA49" s="74">
        <v>211.69755599999999</v>
      </c>
      <c r="AB49" s="74">
        <v>219.67012</v>
      </c>
      <c r="AC49" s="74">
        <v>226.88800000000001</v>
      </c>
      <c r="AD49" s="74">
        <v>234.63609299999999</v>
      </c>
      <c r="AE49" s="74">
        <v>242.57153299999999</v>
      </c>
      <c r="AF49" s="74">
        <v>247.973206</v>
      </c>
      <c r="AG49" s="74">
        <v>252.85398900000001</v>
      </c>
      <c r="AH49" s="74">
        <v>258.81308000000001</v>
      </c>
      <c r="AI49" s="74">
        <v>265.341949</v>
      </c>
      <c r="AJ49" s="160">
        <v>5.0999999999999997E-2</v>
      </c>
    </row>
    <row r="50" spans="1:36" x14ac:dyDescent="0.35">
      <c r="A50" s="74" t="s">
        <v>1060</v>
      </c>
      <c r="B50" s="74" t="s">
        <v>1059</v>
      </c>
      <c r="C50" s="74" t="s">
        <v>1058</v>
      </c>
      <c r="D50" s="74" t="s">
        <v>1038</v>
      </c>
      <c r="F50" s="74">
        <v>26.725339999999999</v>
      </c>
      <c r="G50" s="74">
        <v>42.556213</v>
      </c>
      <c r="H50" s="74">
        <v>46.998806000000002</v>
      </c>
      <c r="I50" s="74">
        <v>48.056854000000001</v>
      </c>
      <c r="J50" s="74">
        <v>48.200184</v>
      </c>
      <c r="K50" s="74">
        <v>48.245716000000002</v>
      </c>
      <c r="L50" s="74">
        <v>48.247421000000003</v>
      </c>
      <c r="M50" s="74">
        <v>48.213645999999997</v>
      </c>
      <c r="N50" s="74">
        <v>48.724502999999999</v>
      </c>
      <c r="O50" s="74">
        <v>49.800269999999998</v>
      </c>
      <c r="P50" s="74">
        <v>53.372494000000003</v>
      </c>
      <c r="Q50" s="74">
        <v>55.261761</v>
      </c>
      <c r="R50" s="74">
        <v>57.478470000000002</v>
      </c>
      <c r="S50" s="74">
        <v>59.135497999999998</v>
      </c>
      <c r="T50" s="74">
        <v>60.599373</v>
      </c>
      <c r="U50" s="74">
        <v>62.309353000000002</v>
      </c>
      <c r="V50" s="74">
        <v>64.159797999999995</v>
      </c>
      <c r="W50" s="74">
        <v>66.089043000000004</v>
      </c>
      <c r="X50" s="74">
        <v>67.881943000000007</v>
      </c>
      <c r="Y50" s="74">
        <v>70.133208999999994</v>
      </c>
      <c r="Z50" s="74">
        <v>71.640433999999999</v>
      </c>
      <c r="AA50" s="74">
        <v>72.834496000000001</v>
      </c>
      <c r="AB50" s="74">
        <v>74.359001000000006</v>
      </c>
      <c r="AC50" s="74">
        <v>75.699180999999996</v>
      </c>
      <c r="AD50" s="74">
        <v>77.264274999999998</v>
      </c>
      <c r="AE50" s="74">
        <v>78.835396000000003</v>
      </c>
      <c r="AF50" s="74">
        <v>79.768974</v>
      </c>
      <c r="AG50" s="74">
        <v>80.653801000000001</v>
      </c>
      <c r="AH50" s="74">
        <v>81.825844000000004</v>
      </c>
      <c r="AI50" s="74">
        <v>83.038910000000001</v>
      </c>
      <c r="AJ50" s="160">
        <v>0.04</v>
      </c>
    </row>
    <row r="51" spans="1:36" x14ac:dyDescent="0.35">
      <c r="A51" s="74" t="s">
        <v>1057</v>
      </c>
      <c r="B51" s="74" t="s">
        <v>1056</v>
      </c>
      <c r="C51" s="74" t="s">
        <v>1055</v>
      </c>
      <c r="D51" s="74" t="s">
        <v>1038</v>
      </c>
      <c r="F51" s="74">
        <v>129.90785199999999</v>
      </c>
      <c r="G51" s="74">
        <v>148.51153600000001</v>
      </c>
      <c r="H51" s="74">
        <v>160.132172</v>
      </c>
      <c r="I51" s="74">
        <v>162.12556499999999</v>
      </c>
      <c r="J51" s="74">
        <v>161.399033</v>
      </c>
      <c r="K51" s="74">
        <v>162.941956</v>
      </c>
      <c r="L51" s="74">
        <v>163.93666099999999</v>
      </c>
      <c r="M51" s="74">
        <v>164.19695999999999</v>
      </c>
      <c r="N51" s="74">
        <v>165.16056800000001</v>
      </c>
      <c r="O51" s="74">
        <v>166.71904000000001</v>
      </c>
      <c r="P51" s="74">
        <v>174.970001</v>
      </c>
      <c r="Q51" s="74">
        <v>176.09751900000001</v>
      </c>
      <c r="R51" s="74">
        <v>178.75968900000001</v>
      </c>
      <c r="S51" s="74">
        <v>180.02685500000001</v>
      </c>
      <c r="T51" s="74">
        <v>180.79489100000001</v>
      </c>
      <c r="U51" s="74">
        <v>182.363068</v>
      </c>
      <c r="V51" s="74">
        <v>184.47463999999999</v>
      </c>
      <c r="W51" s="74">
        <v>186.83308400000001</v>
      </c>
      <c r="X51" s="74">
        <v>188.890244</v>
      </c>
      <c r="Y51" s="74">
        <v>192.184967</v>
      </c>
      <c r="Z51" s="74">
        <v>194.618439</v>
      </c>
      <c r="AA51" s="74">
        <v>195.79702800000001</v>
      </c>
      <c r="AB51" s="74">
        <v>197.835037</v>
      </c>
      <c r="AC51" s="74">
        <v>199.48507699999999</v>
      </c>
      <c r="AD51" s="74">
        <v>201.780472</v>
      </c>
      <c r="AE51" s="74">
        <v>204.10862700000001</v>
      </c>
      <c r="AF51" s="74">
        <v>204.86762999999999</v>
      </c>
      <c r="AG51" s="74">
        <v>205.541168</v>
      </c>
      <c r="AH51" s="74">
        <v>207.01733400000001</v>
      </c>
      <c r="AI51" s="74">
        <v>208.590057</v>
      </c>
      <c r="AJ51" s="160">
        <v>1.6E-2</v>
      </c>
    </row>
    <row r="52" spans="1:36" x14ac:dyDescent="0.35">
      <c r="A52" s="74" t="s">
        <v>1054</v>
      </c>
      <c r="B52" s="74" t="s">
        <v>1053</v>
      </c>
      <c r="C52" s="74" t="s">
        <v>1052</v>
      </c>
      <c r="D52" s="74" t="s">
        <v>1038</v>
      </c>
      <c r="F52" s="74">
        <v>0.16148299999999999</v>
      </c>
      <c r="G52" s="74">
        <v>0.20724600000000001</v>
      </c>
      <c r="H52" s="74">
        <v>0.21676500000000001</v>
      </c>
      <c r="I52" s="74">
        <v>0.21971199999999999</v>
      </c>
      <c r="J52" s="74">
        <v>0.22403899999999999</v>
      </c>
      <c r="K52" s="74">
        <v>0.230543</v>
      </c>
      <c r="L52" s="74">
        <v>0.234038</v>
      </c>
      <c r="M52" s="74">
        <v>0.234482</v>
      </c>
      <c r="N52" s="74">
        <v>0.23625599999999999</v>
      </c>
      <c r="O52" s="74">
        <v>0.24011299999999999</v>
      </c>
      <c r="P52" s="74">
        <v>0.241261</v>
      </c>
      <c r="Q52" s="74">
        <v>0.249085</v>
      </c>
      <c r="R52" s="74">
        <v>0.25173099999999998</v>
      </c>
      <c r="S52" s="74">
        <v>0.25675500000000001</v>
      </c>
      <c r="T52" s="74">
        <v>0.26072499999999998</v>
      </c>
      <c r="U52" s="74">
        <v>0.26633000000000001</v>
      </c>
      <c r="V52" s="74">
        <v>0.27263300000000001</v>
      </c>
      <c r="W52" s="74">
        <v>0.28105000000000002</v>
      </c>
      <c r="X52" s="74">
        <v>0.28827000000000003</v>
      </c>
      <c r="Y52" s="74">
        <v>0.29771199999999998</v>
      </c>
      <c r="Z52" s="74">
        <v>0.306371</v>
      </c>
      <c r="AA52" s="74">
        <v>0.31573899999999999</v>
      </c>
      <c r="AB52" s="74">
        <v>0.32725399999999999</v>
      </c>
      <c r="AC52" s="74">
        <v>0.33801599999999998</v>
      </c>
      <c r="AD52" s="74">
        <v>0.351578</v>
      </c>
      <c r="AE52" s="74">
        <v>0.36602699999999999</v>
      </c>
      <c r="AF52" s="74">
        <v>0.377384</v>
      </c>
      <c r="AG52" s="74">
        <v>0.388326</v>
      </c>
      <c r="AH52" s="74">
        <v>0.40300399999999997</v>
      </c>
      <c r="AI52" s="74">
        <v>0.42018800000000001</v>
      </c>
      <c r="AJ52" s="160">
        <v>3.4000000000000002E-2</v>
      </c>
    </row>
    <row r="53" spans="1:36" x14ac:dyDescent="0.35">
      <c r="A53" s="74" t="s">
        <v>1051</v>
      </c>
      <c r="B53" s="74" t="s">
        <v>1050</v>
      </c>
      <c r="C53" s="74" t="s">
        <v>1049</v>
      </c>
      <c r="D53" s="74" t="s">
        <v>1038</v>
      </c>
      <c r="F53" s="74">
        <v>1.0945199999999999</v>
      </c>
      <c r="G53" s="74">
        <v>0.76387099999999997</v>
      </c>
      <c r="H53" s="74">
        <v>0.80636699999999994</v>
      </c>
      <c r="I53" s="74">
        <v>0.84163399999999999</v>
      </c>
      <c r="J53" s="74">
        <v>0.93330900000000006</v>
      </c>
      <c r="K53" s="74">
        <v>1.0596680000000001</v>
      </c>
      <c r="L53" s="74">
        <v>1.174382</v>
      </c>
      <c r="M53" s="74">
        <v>1.2988150000000001</v>
      </c>
      <c r="N53" s="74">
        <v>1.4268339999999999</v>
      </c>
      <c r="O53" s="74">
        <v>1.552214</v>
      </c>
      <c r="P53" s="74">
        <v>1.7603219999999999</v>
      </c>
      <c r="Q53" s="74">
        <v>1.977635</v>
      </c>
      <c r="R53" s="74">
        <v>2.080962</v>
      </c>
      <c r="S53" s="74">
        <v>2.159573</v>
      </c>
      <c r="T53" s="74">
        <v>2.1911999999999998</v>
      </c>
      <c r="U53" s="74">
        <v>2.2083159999999999</v>
      </c>
      <c r="V53" s="74">
        <v>2.2130879999999999</v>
      </c>
      <c r="W53" s="74">
        <v>2.2916650000000001</v>
      </c>
      <c r="X53" s="74">
        <v>2.3735580000000001</v>
      </c>
      <c r="Y53" s="74">
        <v>2.4569879999999999</v>
      </c>
      <c r="Z53" s="74">
        <v>2.5277440000000002</v>
      </c>
      <c r="AA53" s="74">
        <v>2.5793889999999999</v>
      </c>
      <c r="AB53" s="74">
        <v>2.6341999999999999</v>
      </c>
      <c r="AC53" s="74">
        <v>2.689587</v>
      </c>
      <c r="AD53" s="74">
        <v>2.7468979999999998</v>
      </c>
      <c r="AE53" s="74">
        <v>2.7959529999999999</v>
      </c>
      <c r="AF53" s="74">
        <v>2.8209740000000001</v>
      </c>
      <c r="AG53" s="74">
        <v>2.830479</v>
      </c>
      <c r="AH53" s="74">
        <v>2.841418</v>
      </c>
      <c r="AI53" s="74">
        <v>2.855359</v>
      </c>
      <c r="AJ53" s="160">
        <v>3.4000000000000002E-2</v>
      </c>
    </row>
    <row r="54" spans="1:36" x14ac:dyDescent="0.35">
      <c r="A54" s="74" t="s">
        <v>855</v>
      </c>
      <c r="B54" s="74" t="s">
        <v>1048</v>
      </c>
      <c r="C54" s="74" t="s">
        <v>1047</v>
      </c>
      <c r="D54" s="74" t="s">
        <v>1038</v>
      </c>
      <c r="F54" s="74">
        <v>2208.4108890000002</v>
      </c>
      <c r="G54" s="74">
        <v>2208.3461910000001</v>
      </c>
      <c r="H54" s="74">
        <v>2215.483154</v>
      </c>
      <c r="I54" s="74">
        <v>2208.6833499999998</v>
      </c>
      <c r="J54" s="74">
        <v>2202.4001459999999</v>
      </c>
      <c r="K54" s="74">
        <v>2214.6906739999999</v>
      </c>
      <c r="L54" s="74">
        <v>2207.0205080000001</v>
      </c>
      <c r="M54" s="74">
        <v>2187.3635250000002</v>
      </c>
      <c r="N54" s="74">
        <v>2179.876221</v>
      </c>
      <c r="O54" s="74">
        <v>2172.8549800000001</v>
      </c>
      <c r="P54" s="74">
        <v>2170.1215820000002</v>
      </c>
      <c r="Q54" s="74">
        <v>2159.6057129999999</v>
      </c>
      <c r="R54" s="74">
        <v>2159.9602049999999</v>
      </c>
      <c r="S54" s="74">
        <v>2156.8188479999999</v>
      </c>
      <c r="T54" s="74">
        <v>2151.8520509999998</v>
      </c>
      <c r="U54" s="74">
        <v>2156.1499020000001</v>
      </c>
      <c r="V54" s="74">
        <v>2168.3454590000001</v>
      </c>
      <c r="W54" s="74">
        <v>2179.1977539999998</v>
      </c>
      <c r="X54" s="74">
        <v>2193.4814449999999</v>
      </c>
      <c r="Y54" s="74">
        <v>2216.1499020000001</v>
      </c>
      <c r="Z54" s="74">
        <v>2224.5083009999998</v>
      </c>
      <c r="AA54" s="74">
        <v>2228.78125</v>
      </c>
      <c r="AB54" s="74">
        <v>2238.945557</v>
      </c>
      <c r="AC54" s="74">
        <v>2245.1892090000001</v>
      </c>
      <c r="AD54" s="74">
        <v>2260.9948730000001</v>
      </c>
      <c r="AE54" s="74">
        <v>2275.8115229999999</v>
      </c>
      <c r="AF54" s="74">
        <v>2277.2902829999998</v>
      </c>
      <c r="AG54" s="74">
        <v>2280.4873050000001</v>
      </c>
      <c r="AH54" s="74">
        <v>2292.0402829999998</v>
      </c>
      <c r="AI54" s="74">
        <v>2303.6008299999999</v>
      </c>
      <c r="AJ54" s="160">
        <v>1E-3</v>
      </c>
    </row>
    <row r="55" spans="1:36" x14ac:dyDescent="0.35">
      <c r="A55" s="74" t="s">
        <v>1046</v>
      </c>
      <c r="B55" s="74" t="s">
        <v>1045</v>
      </c>
      <c r="C55" s="74" t="s">
        <v>1044</v>
      </c>
      <c r="D55" s="74" t="s">
        <v>1038</v>
      </c>
      <c r="F55" s="74">
        <v>721.84832800000004</v>
      </c>
      <c r="G55" s="74">
        <v>740.00701900000001</v>
      </c>
      <c r="H55" s="74">
        <v>774.588257</v>
      </c>
      <c r="I55" s="74">
        <v>835.00122099999999</v>
      </c>
      <c r="J55" s="74">
        <v>859.29724099999999</v>
      </c>
      <c r="K55" s="74">
        <v>901.696777</v>
      </c>
      <c r="L55" s="74">
        <v>908.51000999999997</v>
      </c>
      <c r="M55" s="74">
        <v>909.54022199999997</v>
      </c>
      <c r="N55" s="74">
        <v>910.73571800000002</v>
      </c>
      <c r="O55" s="74">
        <v>907.20770300000004</v>
      </c>
      <c r="P55" s="74">
        <v>895.67535399999997</v>
      </c>
      <c r="Q55" s="74">
        <v>885.52929700000004</v>
      </c>
      <c r="R55" s="74">
        <v>878.68768299999999</v>
      </c>
      <c r="S55" s="74">
        <v>874.83136000000002</v>
      </c>
      <c r="T55" s="74">
        <v>873.16058299999997</v>
      </c>
      <c r="U55" s="74">
        <v>876.14502000000005</v>
      </c>
      <c r="V55" s="74">
        <v>882.33093299999996</v>
      </c>
      <c r="W55" s="74">
        <v>884.50787400000002</v>
      </c>
      <c r="X55" s="74">
        <v>887.14636199999995</v>
      </c>
      <c r="Y55" s="74">
        <v>894.15356399999996</v>
      </c>
      <c r="Z55" s="74">
        <v>895.23230000000001</v>
      </c>
      <c r="AA55" s="74">
        <v>893.79589799999997</v>
      </c>
      <c r="AB55" s="74">
        <v>895.63403300000004</v>
      </c>
      <c r="AC55" s="74">
        <v>895.16528300000004</v>
      </c>
      <c r="AD55" s="74">
        <v>897.66729699999996</v>
      </c>
      <c r="AE55" s="74">
        <v>900.09771699999999</v>
      </c>
      <c r="AF55" s="74">
        <v>901.035889</v>
      </c>
      <c r="AG55" s="74">
        <v>900.47589100000005</v>
      </c>
      <c r="AH55" s="74">
        <v>904.90020800000002</v>
      </c>
      <c r="AI55" s="74">
        <v>908.115723</v>
      </c>
      <c r="AJ55" s="160">
        <v>8.0000000000000002E-3</v>
      </c>
    </row>
    <row r="56" spans="1:36" x14ac:dyDescent="0.35">
      <c r="A56" s="74" t="s">
        <v>1043</v>
      </c>
      <c r="B56" s="74" t="s">
        <v>1042</v>
      </c>
      <c r="C56" s="74" t="s">
        <v>1041</v>
      </c>
      <c r="D56" s="74" t="s">
        <v>1038</v>
      </c>
      <c r="F56" s="74">
        <v>0</v>
      </c>
      <c r="G56" s="74">
        <v>0</v>
      </c>
      <c r="H56" s="74">
        <v>0</v>
      </c>
      <c r="I56" s="74">
        <v>0</v>
      </c>
      <c r="J56" s="74">
        <v>0</v>
      </c>
      <c r="K56" s="74">
        <v>0</v>
      </c>
      <c r="L56" s="74">
        <v>0</v>
      </c>
      <c r="M56" s="74">
        <v>0</v>
      </c>
      <c r="N56" s="74">
        <v>0</v>
      </c>
      <c r="O56" s="74">
        <v>0</v>
      </c>
      <c r="P56" s="74">
        <v>0</v>
      </c>
      <c r="Q56" s="74">
        <v>0</v>
      </c>
      <c r="R56" s="74">
        <v>0</v>
      </c>
      <c r="S56" s="74">
        <v>0</v>
      </c>
      <c r="T56" s="74">
        <v>0</v>
      </c>
      <c r="U56" s="74">
        <v>0</v>
      </c>
      <c r="V56" s="74">
        <v>0</v>
      </c>
      <c r="W56" s="74">
        <v>0</v>
      </c>
      <c r="X56" s="74">
        <v>0</v>
      </c>
      <c r="Y56" s="74">
        <v>0</v>
      </c>
      <c r="Z56" s="74">
        <v>0</v>
      </c>
      <c r="AA56" s="74">
        <v>0</v>
      </c>
      <c r="AB56" s="74">
        <v>0</v>
      </c>
      <c r="AC56" s="74">
        <v>0</v>
      </c>
      <c r="AD56" s="74">
        <v>0</v>
      </c>
      <c r="AE56" s="74">
        <v>0</v>
      </c>
      <c r="AF56" s="74">
        <v>0</v>
      </c>
      <c r="AG56" s="74">
        <v>0</v>
      </c>
      <c r="AH56" s="74">
        <v>0</v>
      </c>
      <c r="AI56" s="74">
        <v>0</v>
      </c>
      <c r="AJ56" s="74" t="s">
        <v>12</v>
      </c>
    </row>
    <row r="57" spans="1:36" x14ac:dyDescent="0.35">
      <c r="A57" s="74" t="s">
        <v>856</v>
      </c>
      <c r="B57" s="74" t="s">
        <v>1040</v>
      </c>
      <c r="C57" s="74" t="s">
        <v>1039</v>
      </c>
      <c r="D57" s="74" t="s">
        <v>1038</v>
      </c>
      <c r="F57" s="74">
        <v>1021.99231</v>
      </c>
      <c r="G57" s="74">
        <v>1081.4704589999999</v>
      </c>
      <c r="H57" s="74">
        <v>1142.952393</v>
      </c>
      <c r="I57" s="74">
        <v>1218.026245</v>
      </c>
      <c r="J57" s="74">
        <v>1246.112183</v>
      </c>
      <c r="K57" s="74">
        <v>1294.4562989999999</v>
      </c>
      <c r="L57" s="74">
        <v>1305.032837</v>
      </c>
      <c r="M57" s="74">
        <v>1308.017212</v>
      </c>
      <c r="N57" s="74">
        <v>1314.611572</v>
      </c>
      <c r="O57" s="74">
        <v>1319.093018</v>
      </c>
      <c r="P57" s="74">
        <v>1333.0407709999999</v>
      </c>
      <c r="Q57" s="74">
        <v>1333.0454099999999</v>
      </c>
      <c r="R57" s="74">
        <v>1339.8186040000001</v>
      </c>
      <c r="S57" s="74">
        <v>1345.6779790000001</v>
      </c>
      <c r="T57" s="74">
        <v>1352.6870120000001</v>
      </c>
      <c r="U57" s="74">
        <v>1366.3167719999999</v>
      </c>
      <c r="V57" s="74">
        <v>1384.3394780000001</v>
      </c>
      <c r="W57" s="74">
        <v>1399.6461179999999</v>
      </c>
      <c r="X57" s="74">
        <v>1414.2181399999999</v>
      </c>
      <c r="Y57" s="74">
        <v>1436.994995</v>
      </c>
      <c r="Z57" s="74">
        <v>1449.850586</v>
      </c>
      <c r="AA57" s="74">
        <v>1457.2384030000001</v>
      </c>
      <c r="AB57" s="74">
        <v>1470.825562</v>
      </c>
      <c r="AC57" s="74">
        <v>1480.6484379999999</v>
      </c>
      <c r="AD57" s="74">
        <v>1495.2845460000001</v>
      </c>
      <c r="AE57" s="74">
        <v>1510.053101</v>
      </c>
      <c r="AF57" s="74">
        <v>1518.1721190000001</v>
      </c>
      <c r="AG57" s="74">
        <v>1524.2641599999999</v>
      </c>
      <c r="AH57" s="74">
        <v>1537.815308</v>
      </c>
      <c r="AI57" s="74">
        <v>1550.9030760000001</v>
      </c>
      <c r="AJ57" s="160">
        <v>1.4E-2</v>
      </c>
    </row>
    <row r="60" spans="1:36" x14ac:dyDescent="0.35">
      <c r="E60" s="74" t="s">
        <v>1036</v>
      </c>
      <c r="G60"/>
      <c r="H60"/>
      <c r="I60"/>
      <c r="J60"/>
      <c r="K60"/>
      <c r="L60"/>
      <c r="M60"/>
      <c r="N60"/>
      <c r="O60"/>
      <c r="P60"/>
      <c r="Q60"/>
      <c r="R60"/>
      <c r="S60"/>
      <c r="T60"/>
      <c r="U60"/>
      <c r="V60"/>
      <c r="W60"/>
      <c r="X60"/>
      <c r="Y60"/>
      <c r="Z60"/>
      <c r="AA60"/>
      <c r="AB60"/>
      <c r="AC60"/>
      <c r="AD60"/>
      <c r="AE60"/>
      <c r="AF60"/>
      <c r="AG60"/>
      <c r="AH60"/>
      <c r="AI60"/>
    </row>
    <row r="61" spans="1:36" x14ac:dyDescent="0.35">
      <c r="A61" s="74" t="str">
        <f>'LDV sales'!A111</f>
        <v>Minicompact</v>
      </c>
      <c r="B61" s="74" t="str">
        <f>'LDV sales'!B111</f>
        <v>New Vehicle Attributes: Sales Shares: Cars: Minicompact: AEO2022 Reference case</v>
      </c>
      <c r="C61" s="74" t="str">
        <f>'LDV sales'!C111</f>
        <v>52-AEO2022.65.ref2022-d011222a</v>
      </c>
      <c r="D61" s="74" t="str">
        <f>'LDV sales'!D111</f>
        <v>percent</v>
      </c>
      <c r="E61" s="74">
        <f>AVERAGE('LDV sales'!F111:AI111)</f>
        <v>0.42431283333333331</v>
      </c>
      <c r="G61"/>
      <c r="H61"/>
      <c r="I61"/>
      <c r="J61"/>
      <c r="K61"/>
      <c r="L61"/>
      <c r="M61"/>
      <c r="N61"/>
      <c r="O61"/>
      <c r="P61"/>
      <c r="Q61"/>
      <c r="R61"/>
      <c r="S61"/>
      <c r="T61"/>
      <c r="U61"/>
      <c r="V61"/>
      <c r="W61"/>
      <c r="X61"/>
      <c r="Y61"/>
      <c r="Z61"/>
      <c r="AA61"/>
      <c r="AB61"/>
      <c r="AC61"/>
      <c r="AD61"/>
      <c r="AE61"/>
      <c r="AF61"/>
      <c r="AG61"/>
      <c r="AH61"/>
      <c r="AI61"/>
    </row>
    <row r="62" spans="1:36" x14ac:dyDescent="0.35">
      <c r="A62" s="74" t="str">
        <f>'LDV sales'!A112</f>
        <v>Subcompact</v>
      </c>
      <c r="B62" s="74" t="str">
        <f>'LDV sales'!B112</f>
        <v>New Vehicle Attributes: Sales Shares: Cars: Subcompact: AEO2022 Reference case</v>
      </c>
      <c r="C62" s="74" t="str">
        <f>'LDV sales'!C112</f>
        <v>52-AEO2022.66.ref2022-d011222a</v>
      </c>
      <c r="D62" s="74" t="str">
        <f>'LDV sales'!D112</f>
        <v>percent</v>
      </c>
      <c r="E62" s="74">
        <f>AVERAGE('LDV sales'!F112:AI112)</f>
        <v>5.1310045000000004</v>
      </c>
      <c r="G62"/>
      <c r="H62"/>
      <c r="I62"/>
      <c r="J62"/>
      <c r="K62"/>
      <c r="L62"/>
      <c r="M62"/>
      <c r="N62"/>
      <c r="O62"/>
      <c r="P62"/>
      <c r="Q62"/>
      <c r="R62"/>
      <c r="S62"/>
      <c r="T62"/>
      <c r="U62"/>
      <c r="V62"/>
      <c r="W62"/>
      <c r="X62"/>
      <c r="Y62"/>
      <c r="Z62"/>
      <c r="AA62"/>
      <c r="AB62"/>
      <c r="AC62"/>
      <c r="AD62"/>
      <c r="AE62"/>
      <c r="AF62"/>
      <c r="AG62"/>
      <c r="AH62"/>
      <c r="AI62"/>
    </row>
    <row r="63" spans="1:36" x14ac:dyDescent="0.35">
      <c r="A63" s="74" t="str">
        <f>'LDV sales'!A113</f>
        <v>Compact</v>
      </c>
      <c r="B63" s="74" t="str">
        <f>'LDV sales'!B113</f>
        <v>New Vehicle Attributes: Sales Shares: Cars: Compact: AEO2022 Reference case</v>
      </c>
      <c r="C63" s="74" t="str">
        <f>'LDV sales'!C113</f>
        <v>52-AEO2022.67.ref2022-d011222a</v>
      </c>
      <c r="D63" s="74" t="str">
        <f>'LDV sales'!D113</f>
        <v>percent</v>
      </c>
      <c r="E63" s="74">
        <f>AVERAGE('LDV sales'!F113:AI113)</f>
        <v>12.448043699999996</v>
      </c>
      <c r="G63"/>
      <c r="H63"/>
      <c r="I63"/>
      <c r="J63"/>
      <c r="K63"/>
      <c r="L63"/>
      <c r="M63"/>
      <c r="N63"/>
      <c r="O63"/>
      <c r="P63"/>
      <c r="Q63"/>
      <c r="R63"/>
      <c r="S63"/>
      <c r="T63"/>
      <c r="U63"/>
      <c r="V63"/>
      <c r="W63"/>
      <c r="X63"/>
      <c r="Y63"/>
      <c r="Z63"/>
      <c r="AA63"/>
      <c r="AB63"/>
      <c r="AC63"/>
      <c r="AD63"/>
      <c r="AE63"/>
      <c r="AF63"/>
      <c r="AG63"/>
      <c r="AH63"/>
      <c r="AI63"/>
    </row>
    <row r="64" spans="1:36" x14ac:dyDescent="0.35">
      <c r="A64" s="74" t="str">
        <f>'LDV sales'!A114</f>
        <v>Midsize</v>
      </c>
      <c r="B64" s="74" t="str">
        <f>'LDV sales'!B114</f>
        <v>New Vehicle Attributes: Sales Shares: Cars: Midsize: AEO2022 Reference case</v>
      </c>
      <c r="C64" s="74" t="str">
        <f>'LDV sales'!C114</f>
        <v>52-AEO2022.68.ref2022-d011222a</v>
      </c>
      <c r="D64" s="74" t="str">
        <f>'LDV sales'!D114</f>
        <v>percent</v>
      </c>
      <c r="E64" s="74">
        <f>AVERAGE('LDV sales'!F114:AI114)</f>
        <v>32.370058133333337</v>
      </c>
      <c r="G64"/>
      <c r="H64"/>
      <c r="I64"/>
      <c r="J64"/>
      <c r="K64"/>
      <c r="L64"/>
      <c r="M64"/>
      <c r="N64"/>
      <c r="O64"/>
      <c r="P64"/>
      <c r="Q64"/>
      <c r="R64"/>
      <c r="S64"/>
      <c r="T64"/>
      <c r="U64"/>
      <c r="V64"/>
      <c r="W64"/>
      <c r="X64"/>
      <c r="Y64"/>
      <c r="Z64"/>
      <c r="AA64"/>
      <c r="AB64"/>
      <c r="AC64"/>
      <c r="AD64"/>
      <c r="AE64"/>
      <c r="AF64"/>
      <c r="AG64"/>
      <c r="AH64"/>
      <c r="AI64"/>
    </row>
    <row r="65" spans="1:35" x14ac:dyDescent="0.35">
      <c r="A65" s="74" t="str">
        <f>'LDV sales'!A115</f>
        <v>Large</v>
      </c>
      <c r="B65" s="74" t="str">
        <f>'LDV sales'!B115</f>
        <v>New Vehicle Attributes: Sales Shares: Cars: Large: AEO2022 Reference case</v>
      </c>
      <c r="C65" s="74" t="str">
        <f>'LDV sales'!C115</f>
        <v>52-AEO2022.69.ref2022-d011222a</v>
      </c>
      <c r="D65" s="74" t="str">
        <f>'LDV sales'!D115</f>
        <v>percent</v>
      </c>
      <c r="E65" s="74">
        <f>AVERAGE('LDV sales'!F115:AI115)</f>
        <v>9.6446301999999999</v>
      </c>
      <c r="G65"/>
      <c r="H65"/>
      <c r="I65"/>
      <c r="J65"/>
      <c r="K65"/>
      <c r="L65"/>
      <c r="M65"/>
      <c r="N65"/>
      <c r="O65"/>
      <c r="P65"/>
      <c r="Q65"/>
      <c r="R65"/>
      <c r="S65"/>
      <c r="T65"/>
      <c r="U65"/>
      <c r="V65"/>
      <c r="W65"/>
      <c r="X65"/>
      <c r="Y65"/>
      <c r="Z65"/>
      <c r="AA65"/>
      <c r="AB65"/>
      <c r="AC65"/>
      <c r="AD65"/>
      <c r="AE65"/>
      <c r="AF65"/>
      <c r="AG65"/>
      <c r="AH65"/>
      <c r="AI65"/>
    </row>
    <row r="66" spans="1:35" x14ac:dyDescent="0.35">
      <c r="A66" s="74" t="str">
        <f>'LDV sales'!A116</f>
        <v>Two Seater</v>
      </c>
      <c r="B66" s="74" t="str">
        <f>'LDV sales'!B116</f>
        <v>New Vehicle Attributes: Sales Shares: Cars: Two Seater: AEO2022 Reference case</v>
      </c>
      <c r="C66" s="74" t="str">
        <f>'LDV sales'!C116</f>
        <v>52-AEO2022.70.ref2022-d011222a</v>
      </c>
      <c r="D66" s="74" t="str">
        <f>'LDV sales'!D116</f>
        <v>percent</v>
      </c>
      <c r="E66" s="74">
        <f>AVERAGE('LDV sales'!F116:AI116)</f>
        <v>1.0246284000000001</v>
      </c>
      <c r="G66"/>
      <c r="H66"/>
      <c r="I66"/>
      <c r="J66"/>
      <c r="K66"/>
      <c r="L66"/>
      <c r="M66"/>
      <c r="N66"/>
      <c r="O66"/>
      <c r="P66"/>
      <c r="Q66"/>
      <c r="R66"/>
      <c r="S66"/>
      <c r="T66"/>
      <c r="U66"/>
      <c r="V66"/>
      <c r="W66"/>
      <c r="X66"/>
      <c r="Y66"/>
      <c r="Z66"/>
      <c r="AA66"/>
      <c r="AB66"/>
      <c r="AC66"/>
      <c r="AD66"/>
      <c r="AE66"/>
      <c r="AF66"/>
      <c r="AG66"/>
      <c r="AH66"/>
      <c r="AI66"/>
    </row>
    <row r="67" spans="1:35" x14ac:dyDescent="0.35">
      <c r="A67" s="74" t="str">
        <f>'LDV sales'!A117</f>
        <v>Small Crossover Utility</v>
      </c>
      <c r="B67" s="74" t="str">
        <f>'LDV sales'!B117</f>
        <v>New Vehicle Attributes: Sales Shares: Cars: Small Crossover: AEO2022 Reference case</v>
      </c>
      <c r="C67" s="74" t="str">
        <f>'LDV sales'!C117</f>
        <v>52-AEO2022.71.ref2022-d011222a</v>
      </c>
      <c r="D67" s="74" t="str">
        <f>'LDV sales'!D117</f>
        <v>percent</v>
      </c>
      <c r="E67" s="74">
        <f>AVERAGE('LDV sales'!F117:AI117)</f>
        <v>32.087597766666676</v>
      </c>
      <c r="G67"/>
      <c r="H67"/>
      <c r="I67"/>
      <c r="J67"/>
      <c r="K67"/>
      <c r="L67"/>
      <c r="M67"/>
      <c r="N67"/>
      <c r="O67"/>
      <c r="P67"/>
      <c r="Q67"/>
      <c r="R67"/>
      <c r="S67"/>
      <c r="T67"/>
      <c r="U67"/>
      <c r="V67"/>
      <c r="W67"/>
      <c r="X67"/>
      <c r="Y67"/>
      <c r="Z67"/>
      <c r="AA67"/>
      <c r="AB67"/>
      <c r="AC67"/>
      <c r="AD67"/>
      <c r="AE67"/>
      <c r="AF67"/>
      <c r="AG67"/>
      <c r="AH67"/>
      <c r="AI67"/>
    </row>
    <row r="68" spans="1:35" x14ac:dyDescent="0.35">
      <c r="A68" s="74" t="str">
        <f>'LDV sales'!A118</f>
        <v>Large Crossover Utility</v>
      </c>
      <c r="B68" s="74" t="str">
        <f>'LDV sales'!B118</f>
        <v>New Vehicle Attributes: Sales Shares: Cars: Large Crossover: AEO2022 Reference case</v>
      </c>
      <c r="C68" s="74" t="str">
        <f>'LDV sales'!C118</f>
        <v>52-AEO2022.72.ref2022-d011222a</v>
      </c>
      <c r="D68" s="74" t="str">
        <f>'LDV sales'!D118</f>
        <v>percent</v>
      </c>
      <c r="E68" s="74">
        <f>AVERAGE('LDV sales'!F118:AI118)</f>
        <v>6.8697197666666669</v>
      </c>
      <c r="G68"/>
      <c r="H68"/>
      <c r="I68"/>
      <c r="J68"/>
      <c r="K68"/>
      <c r="L68"/>
      <c r="M68"/>
      <c r="N68"/>
      <c r="O68"/>
      <c r="P68"/>
      <c r="Q68"/>
      <c r="R68"/>
      <c r="S68"/>
      <c r="T68"/>
      <c r="U68"/>
      <c r="V68"/>
      <c r="W68"/>
      <c r="X68"/>
      <c r="Y68"/>
      <c r="Z68"/>
      <c r="AA68"/>
      <c r="AB68"/>
      <c r="AC68"/>
      <c r="AD68"/>
      <c r="AE68"/>
      <c r="AF68"/>
      <c r="AG68"/>
      <c r="AH68"/>
      <c r="AI68"/>
    </row>
    <row r="69" spans="1:35" x14ac:dyDescent="0.35">
      <c r="A69" s="74" t="str">
        <f>'LDV sales'!A119</f>
        <v>Light Trucks</v>
      </c>
      <c r="C69" s="74" t="str">
        <f>'LDV sales'!C119</f>
        <v>52-AEO2022.74.</v>
      </c>
      <c r="G69"/>
      <c r="H69"/>
      <c r="I69"/>
      <c r="J69"/>
      <c r="K69"/>
      <c r="L69"/>
      <c r="M69"/>
      <c r="N69"/>
      <c r="O69"/>
      <c r="P69"/>
      <c r="Q69"/>
      <c r="R69"/>
      <c r="S69"/>
      <c r="T69"/>
      <c r="U69"/>
      <c r="V69"/>
      <c r="W69"/>
      <c r="X69"/>
      <c r="Y69"/>
      <c r="Z69"/>
      <c r="AA69"/>
      <c r="AB69"/>
      <c r="AC69"/>
      <c r="AD69"/>
      <c r="AE69"/>
      <c r="AF69"/>
      <c r="AG69"/>
      <c r="AH69"/>
      <c r="AI69"/>
    </row>
    <row r="70" spans="1:35" x14ac:dyDescent="0.35">
      <c r="A70" s="74" t="str">
        <f>'LDV sales'!A120</f>
        <v>Small Pickup</v>
      </c>
      <c r="B70" s="74" t="str">
        <f>'LDV sales'!B120</f>
        <v>New Vehicle Attributes: Sales Shares: Light Trucks: Small Pickup: AEO2022 Reference case</v>
      </c>
      <c r="C70" s="74" t="str">
        <f>'LDV sales'!C120</f>
        <v>52-AEO2022.75.ref2022-d011222a</v>
      </c>
      <c r="D70" s="74" t="str">
        <f>'LDV sales'!D120</f>
        <v>percent</v>
      </c>
      <c r="E70" s="74">
        <f>AVERAGE('LDV sales'!F120:AI120)</f>
        <v>3.7259614666666674</v>
      </c>
      <c r="G70"/>
      <c r="H70"/>
      <c r="I70"/>
      <c r="J70"/>
      <c r="K70"/>
      <c r="L70"/>
      <c r="M70"/>
      <c r="N70"/>
      <c r="O70"/>
      <c r="P70"/>
      <c r="Q70"/>
      <c r="R70"/>
      <c r="S70"/>
      <c r="T70"/>
      <c r="U70"/>
      <c r="V70"/>
      <c r="W70"/>
      <c r="X70"/>
      <c r="Y70"/>
      <c r="Z70"/>
      <c r="AA70"/>
      <c r="AB70"/>
      <c r="AC70"/>
      <c r="AD70"/>
      <c r="AE70"/>
      <c r="AF70"/>
      <c r="AG70"/>
      <c r="AH70"/>
      <c r="AI70"/>
    </row>
    <row r="71" spans="1:35" x14ac:dyDescent="0.35">
      <c r="A71" s="74" t="str">
        <f>'LDV sales'!A121</f>
        <v>Large Pickup</v>
      </c>
      <c r="B71" s="74" t="str">
        <f>'LDV sales'!B121</f>
        <v>New Vehicle Attributes: Sales Shares: Light Trucks: Large Pickup: AEO2022 Reference case</v>
      </c>
      <c r="C71" s="74" t="str">
        <f>'LDV sales'!C121</f>
        <v>52-AEO2022.76.ref2022-d011222a</v>
      </c>
      <c r="D71" s="74" t="str">
        <f>'LDV sales'!D121</f>
        <v>percent</v>
      </c>
      <c r="E71" s="74">
        <f>AVERAGE('LDV sales'!F121:AI121)</f>
        <v>24.850363499999997</v>
      </c>
      <c r="G71"/>
      <c r="H71"/>
      <c r="I71"/>
      <c r="J71"/>
      <c r="K71"/>
      <c r="L71"/>
      <c r="M71"/>
      <c r="N71"/>
      <c r="O71"/>
      <c r="P71"/>
      <c r="Q71"/>
      <c r="R71"/>
      <c r="S71"/>
      <c r="T71"/>
      <c r="U71"/>
      <c r="V71"/>
      <c r="W71"/>
      <c r="X71"/>
      <c r="Y71"/>
      <c r="Z71"/>
      <c r="AA71"/>
      <c r="AB71"/>
      <c r="AC71"/>
      <c r="AD71"/>
      <c r="AE71"/>
      <c r="AF71"/>
      <c r="AG71"/>
      <c r="AH71"/>
      <c r="AI71"/>
    </row>
    <row r="72" spans="1:35" x14ac:dyDescent="0.35">
      <c r="A72" s="74" t="str">
        <f>'LDV sales'!A122</f>
        <v>Small Van</v>
      </c>
      <c r="B72" s="74" t="str">
        <f>'LDV sales'!B122</f>
        <v>New Vehicle Attributes: Sales Shares: Light Trucks: Small Van: AEO2022 Reference case</v>
      </c>
      <c r="C72" s="74" t="str">
        <f>'LDV sales'!C122</f>
        <v>52-AEO2022.77.ref2022-d011222a</v>
      </c>
      <c r="D72" s="74" t="str">
        <f>'LDV sales'!D122</f>
        <v>percent</v>
      </c>
      <c r="E72" s="74">
        <f>AVERAGE('LDV sales'!F122:AI122)</f>
        <v>1.3463329333333336</v>
      </c>
      <c r="G72"/>
      <c r="H72"/>
      <c r="I72"/>
      <c r="J72"/>
      <c r="K72"/>
      <c r="L72"/>
      <c r="M72"/>
      <c r="N72"/>
      <c r="O72"/>
      <c r="P72"/>
      <c r="Q72"/>
      <c r="R72"/>
      <c r="S72"/>
      <c r="T72"/>
      <c r="U72"/>
      <c r="V72"/>
      <c r="W72"/>
      <c r="X72"/>
      <c r="Y72"/>
      <c r="Z72"/>
      <c r="AA72"/>
      <c r="AB72"/>
      <c r="AC72"/>
      <c r="AD72"/>
      <c r="AE72"/>
      <c r="AF72"/>
      <c r="AG72"/>
      <c r="AH72"/>
      <c r="AI72"/>
    </row>
    <row r="73" spans="1:35" x14ac:dyDescent="0.35">
      <c r="A73" s="74" t="str">
        <f>'LDV sales'!A123</f>
        <v>Large Van</v>
      </c>
      <c r="B73" s="74" t="str">
        <f>'LDV sales'!B123</f>
        <v>New Vehicle Attributes: Sales Shares: Light Trucks: Large Van: AEO2022 Reference case</v>
      </c>
      <c r="C73" s="74" t="str">
        <f>'LDV sales'!C123</f>
        <v>52-AEO2022.78.ref2022-d011222a</v>
      </c>
      <c r="D73" s="74" t="str">
        <f>'LDV sales'!D123</f>
        <v>percent</v>
      </c>
      <c r="E73" s="74">
        <f>AVERAGE('LDV sales'!F123:AI123)</f>
        <v>6.3516853999999983</v>
      </c>
      <c r="G73"/>
      <c r="H73"/>
      <c r="I73"/>
      <c r="J73"/>
      <c r="K73"/>
      <c r="L73"/>
      <c r="M73"/>
      <c r="N73"/>
      <c r="O73"/>
      <c r="P73"/>
      <c r="Q73"/>
      <c r="R73"/>
      <c r="S73"/>
      <c r="T73"/>
      <c r="U73"/>
      <c r="V73"/>
      <c r="W73"/>
      <c r="X73"/>
      <c r="Y73"/>
      <c r="Z73"/>
      <c r="AA73"/>
      <c r="AB73"/>
      <c r="AC73"/>
      <c r="AD73"/>
      <c r="AE73"/>
      <c r="AF73"/>
      <c r="AG73"/>
      <c r="AH73"/>
      <c r="AI73"/>
    </row>
    <row r="74" spans="1:35" x14ac:dyDescent="0.35">
      <c r="A74" s="74" t="str">
        <f>'LDV sales'!A124</f>
        <v>Small Utility</v>
      </c>
      <c r="B74" s="74" t="str">
        <f>'LDV sales'!B124</f>
        <v>New Vehicle Attributes: Sales Shares: Light Trucks: Small Utility: AEO2022 Reference case</v>
      </c>
      <c r="C74" s="74" t="str">
        <f>'LDV sales'!C124</f>
        <v>52-AEO2022.79.ref2022-d011222a</v>
      </c>
      <c r="D74" s="74" t="str">
        <f>'LDV sales'!D124</f>
        <v>percent</v>
      </c>
      <c r="E74" s="74">
        <f>AVERAGE('LDV sales'!F124:AI124)</f>
        <v>2.510787866666667</v>
      </c>
      <c r="G74"/>
      <c r="H74"/>
      <c r="I74"/>
      <c r="J74"/>
      <c r="K74"/>
      <c r="L74"/>
      <c r="M74"/>
      <c r="N74"/>
      <c r="O74"/>
      <c r="P74"/>
      <c r="Q74"/>
      <c r="R74"/>
      <c r="S74"/>
      <c r="T74"/>
      <c r="U74"/>
      <c r="V74"/>
      <c r="W74"/>
      <c r="X74"/>
      <c r="Y74"/>
      <c r="Z74"/>
      <c r="AA74"/>
      <c r="AB74"/>
      <c r="AC74"/>
      <c r="AD74"/>
      <c r="AE74"/>
      <c r="AF74"/>
      <c r="AG74"/>
      <c r="AH74"/>
      <c r="AI74"/>
    </row>
    <row r="75" spans="1:35" x14ac:dyDescent="0.35">
      <c r="A75" s="74" t="str">
        <f>'LDV sales'!A125</f>
        <v>Large Utility</v>
      </c>
      <c r="B75" s="74" t="str">
        <f>'LDV sales'!B125</f>
        <v>New Vehicle Attributes: Sales Shares: Light Trucks: Large Utility: AEO2022 Reference case</v>
      </c>
      <c r="C75" s="74" t="str">
        <f>'LDV sales'!C125</f>
        <v>52-AEO2022.80.ref2022-d011222a</v>
      </c>
      <c r="D75" s="74" t="str">
        <f>'LDV sales'!D125</f>
        <v>percent</v>
      </c>
      <c r="E75" s="74">
        <f>AVERAGE('LDV sales'!F125:AI125)</f>
        <v>4.6524205333333324</v>
      </c>
      <c r="G75"/>
      <c r="H75"/>
      <c r="I75"/>
      <c r="J75"/>
      <c r="K75"/>
      <c r="L75"/>
      <c r="M75"/>
      <c r="N75"/>
      <c r="O75"/>
      <c r="P75"/>
      <c r="Q75"/>
      <c r="R75"/>
      <c r="S75"/>
      <c r="T75"/>
      <c r="U75"/>
      <c r="V75"/>
      <c r="W75"/>
      <c r="X75"/>
      <c r="Y75"/>
      <c r="Z75"/>
      <c r="AA75"/>
      <c r="AB75"/>
      <c r="AC75"/>
      <c r="AD75"/>
      <c r="AE75"/>
      <c r="AF75"/>
      <c r="AG75"/>
      <c r="AH75"/>
      <c r="AI75"/>
    </row>
    <row r="76" spans="1:35" x14ac:dyDescent="0.35">
      <c r="A76" s="74" t="str">
        <f>'LDV sales'!A126</f>
        <v>Small Crossover Utility</v>
      </c>
      <c r="B76" s="74" t="str">
        <f>'LDV sales'!B126</f>
        <v>New Vehicle Attributes: Sales Shares: Light Trucks: Small Crossover: AEO2022 Reference case</v>
      </c>
      <c r="C76" s="74" t="str">
        <f>'LDV sales'!C126</f>
        <v>52-AEO2022.81.ref2022-d011222a</v>
      </c>
      <c r="D76" s="74" t="str">
        <f>'LDV sales'!D126</f>
        <v>percent</v>
      </c>
      <c r="E76" s="74">
        <f>AVERAGE('LDV sales'!F126:AI126)</f>
        <v>16.956635166666661</v>
      </c>
      <c r="G76"/>
      <c r="H76"/>
      <c r="I76"/>
      <c r="J76"/>
      <c r="K76"/>
      <c r="L76"/>
      <c r="M76"/>
      <c r="N76"/>
      <c r="O76"/>
      <c r="P76"/>
      <c r="Q76"/>
      <c r="R76"/>
      <c r="S76"/>
      <c r="T76"/>
      <c r="U76"/>
      <c r="V76"/>
      <c r="W76"/>
      <c r="X76"/>
      <c r="Y76"/>
      <c r="Z76"/>
      <c r="AA76"/>
      <c r="AB76"/>
      <c r="AC76"/>
      <c r="AD76"/>
      <c r="AE76"/>
      <c r="AF76"/>
      <c r="AG76"/>
      <c r="AH76"/>
      <c r="AI76"/>
    </row>
    <row r="77" spans="1:35" x14ac:dyDescent="0.35">
      <c r="A77" s="74" t="str">
        <f>'LDV sales'!A127</f>
        <v>Large Crossover Utility</v>
      </c>
      <c r="B77" s="74" t="str">
        <f>'LDV sales'!B127</f>
        <v>New Vehicle Attributes: Sales Shares: Light Trucks: Large Crossover: AEO2022 Reference case</v>
      </c>
      <c r="C77" s="74" t="str">
        <f>'LDV sales'!C127</f>
        <v>52-AEO2022.82.ref2022-d011222a</v>
      </c>
      <c r="D77" s="74" t="str">
        <f>'LDV sales'!D127</f>
        <v>percent</v>
      </c>
      <c r="E77" s="74">
        <f>AVERAGE('LDV sales'!F127:AI127)</f>
        <v>39.605816733333327</v>
      </c>
      <c r="G77"/>
      <c r="H77"/>
      <c r="I77"/>
      <c r="J77"/>
      <c r="K77"/>
      <c r="L77"/>
      <c r="M77"/>
      <c r="N77"/>
      <c r="O77"/>
      <c r="P77"/>
      <c r="Q77"/>
      <c r="R77"/>
      <c r="S77"/>
      <c r="T77"/>
      <c r="U77"/>
      <c r="V77"/>
      <c r="W77"/>
      <c r="X77"/>
      <c r="Y77"/>
      <c r="Z77"/>
      <c r="AA77"/>
      <c r="AB77"/>
      <c r="AC77"/>
      <c r="AD77"/>
      <c r="AE77"/>
      <c r="AF77"/>
      <c r="AG77"/>
      <c r="AH77"/>
      <c r="AI77"/>
    </row>
    <row r="78" spans="1:35" x14ac:dyDescent="0.35">
      <c r="G78"/>
      <c r="H78"/>
      <c r="I78"/>
      <c r="J78"/>
      <c r="K78"/>
      <c r="L78"/>
      <c r="M78"/>
      <c r="N78"/>
      <c r="O78"/>
      <c r="P78"/>
      <c r="Q78"/>
      <c r="R78"/>
      <c r="S78"/>
      <c r="T78"/>
      <c r="U78"/>
      <c r="V78"/>
      <c r="W78"/>
      <c r="X78"/>
      <c r="Y78"/>
      <c r="Z78"/>
      <c r="AA78"/>
      <c r="AB78"/>
      <c r="AC78"/>
      <c r="AD78"/>
      <c r="AE78"/>
      <c r="AF78"/>
      <c r="AG78"/>
      <c r="AH78"/>
      <c r="AI78"/>
    </row>
    <row r="79" spans="1:35" x14ac:dyDescent="0.35">
      <c r="A79" s="74" t="s">
        <v>1211</v>
      </c>
    </row>
    <row r="80" spans="1:35" x14ac:dyDescent="0.35">
      <c r="A80" s="74" t="s">
        <v>788</v>
      </c>
      <c r="B80" s="74">
        <f>(E70+E71)/SUM(E70:E77)</f>
        <v>0.28576323937919007</v>
      </c>
    </row>
    <row r="81" spans="1:35" x14ac:dyDescent="0.35">
      <c r="A81" s="74" t="s">
        <v>797</v>
      </c>
      <c r="B81" s="74">
        <f>1-B80</f>
        <v>0.71423676062080999</v>
      </c>
    </row>
    <row r="85" spans="1:35" x14ac:dyDescent="0.35">
      <c r="F85" s="74">
        <v>2022</v>
      </c>
      <c r="G85"/>
      <c r="H85"/>
      <c r="I85"/>
      <c r="J85"/>
      <c r="K85"/>
      <c r="L85"/>
      <c r="M85"/>
      <c r="N85"/>
      <c r="O85"/>
      <c r="P85"/>
      <c r="Q85"/>
      <c r="R85"/>
      <c r="S85"/>
      <c r="T85"/>
      <c r="U85"/>
      <c r="V85"/>
      <c r="W85"/>
      <c r="X85"/>
      <c r="Y85"/>
      <c r="Z85"/>
      <c r="AA85"/>
      <c r="AB85"/>
      <c r="AC85"/>
      <c r="AD85"/>
      <c r="AE85"/>
      <c r="AF85"/>
      <c r="AG85"/>
      <c r="AH85"/>
      <c r="AI85"/>
    </row>
    <row r="86" spans="1:35" x14ac:dyDescent="0.35">
      <c r="A86" s="74" t="str">
        <f>'LDV sales'!A157</f>
        <v>Total New Car Sales</v>
      </c>
      <c r="B86" s="74" t="str">
        <f>'LDV sales'!B157</f>
        <v>Light-Duty Vehicle Sales: Total New Car: AEO2022 Reference case</v>
      </c>
      <c r="C86" s="74" t="str">
        <f>'LDV sales'!C157</f>
        <v>48-AEO2022.26.ref2022-d011222a</v>
      </c>
      <c r="D86" s="74" t="str">
        <f>'LDV sales'!D157</f>
        <v>thousands</v>
      </c>
      <c r="F86" s="74">
        <f>'LDV sales'!F157</f>
        <v>955.86749299999997</v>
      </c>
      <c r="G86">
        <f>'LDV sales'!G157</f>
        <v>912.56280500000003</v>
      </c>
      <c r="H86">
        <f>'LDV sales'!H157</f>
        <v>868.15612799999997</v>
      </c>
      <c r="I86">
        <f>'LDV sales'!I157</f>
        <v>836.18444799999997</v>
      </c>
      <c r="J86">
        <f>'LDV sales'!J157</f>
        <v>804.97680700000001</v>
      </c>
      <c r="K86">
        <f>'LDV sales'!K157</f>
        <v>794.23480199999995</v>
      </c>
      <c r="L86">
        <f>'LDV sales'!L157</f>
        <v>783.25830099999996</v>
      </c>
      <c r="M86">
        <f>'LDV sales'!M157</f>
        <v>772.45617700000003</v>
      </c>
      <c r="N86">
        <f>'LDV sales'!N157</f>
        <v>766.44201699999996</v>
      </c>
      <c r="O86">
        <f>'LDV sales'!O157</f>
        <v>764.55071999999996</v>
      </c>
      <c r="P86">
        <f>'LDV sales'!P157</f>
        <v>801.13720699999999</v>
      </c>
      <c r="Q86">
        <f>'LDV sales'!Q157</f>
        <v>797.90551800000003</v>
      </c>
      <c r="R86">
        <f>'LDV sales'!R157</f>
        <v>805.42987100000005</v>
      </c>
      <c r="S86">
        <f>'LDV sales'!S157</f>
        <v>805.55944799999997</v>
      </c>
      <c r="T86">
        <f>'LDV sales'!T157</f>
        <v>803.15399200000002</v>
      </c>
      <c r="U86">
        <f>'LDV sales'!U157</f>
        <v>803.21044900000004</v>
      </c>
      <c r="V86">
        <f>'LDV sales'!V157</f>
        <v>805.23315400000001</v>
      </c>
      <c r="W86">
        <f>'LDV sales'!W157</f>
        <v>808.24865699999998</v>
      </c>
      <c r="X86">
        <f>'LDV sales'!X157</f>
        <v>808.87591599999996</v>
      </c>
      <c r="Y86">
        <f>'LDV sales'!Y157</f>
        <v>815.32696499999997</v>
      </c>
      <c r="Z86">
        <f>'LDV sales'!Z157</f>
        <v>815.17022699999995</v>
      </c>
      <c r="AA86">
        <f>'LDV sales'!AA157</f>
        <v>812.458618</v>
      </c>
      <c r="AB86">
        <f>'LDV sales'!AB157</f>
        <v>814.05731200000002</v>
      </c>
      <c r="AC86">
        <f>'LDV sales'!AC157</f>
        <v>814.00176999999996</v>
      </c>
      <c r="AD86">
        <f>'LDV sales'!AD157</f>
        <v>816.44946300000004</v>
      </c>
      <c r="AE86">
        <f>'LDV sales'!AE157</f>
        <v>819.135986</v>
      </c>
      <c r="AF86">
        <f>'LDV sales'!AF157</f>
        <v>815.40667699999995</v>
      </c>
      <c r="AG86">
        <f>'LDV sales'!AG157</f>
        <v>810.89038100000005</v>
      </c>
      <c r="AH86">
        <f>'LDV sales'!AH157</f>
        <v>809.66882299999997</v>
      </c>
      <c r="AI86">
        <f>'LDV sales'!AI157</f>
        <v>808.99316399999998</v>
      </c>
    </row>
    <row r="87" spans="1:35" x14ac:dyDescent="0.35">
      <c r="A87" s="74" t="str">
        <f>'LDV sales'!A180</f>
        <v>Total New Light Truck Sales</v>
      </c>
      <c r="B87" s="74" t="str">
        <f>'LDV sales'!B180</f>
        <v>Light-Duty Vehicle Sales: Total New Truck: AEO2022 Reference case</v>
      </c>
      <c r="C87" s="74" t="str">
        <f>'LDV sales'!C180</f>
        <v>48-AEO2022.52.ref2022-d011222a</v>
      </c>
      <c r="D87" s="74" t="str">
        <f>'LDV sales'!D180</f>
        <v>thousands</v>
      </c>
      <c r="F87" s="74">
        <f>'LDV sales'!F180</f>
        <v>1252.543457</v>
      </c>
      <c r="G87">
        <f>'LDV sales'!G180</f>
        <v>1295.783447</v>
      </c>
      <c r="H87">
        <f>'LDV sales'!H180</f>
        <v>1347.3270259999999</v>
      </c>
      <c r="I87">
        <f>'LDV sales'!I180</f>
        <v>1372.4989009999999</v>
      </c>
      <c r="J87">
        <f>'LDV sales'!J180</f>
        <v>1397.4233400000001</v>
      </c>
      <c r="K87">
        <f>'LDV sales'!K180</f>
        <v>1420.455933</v>
      </c>
      <c r="L87">
        <f>'LDV sales'!L180</f>
        <v>1423.762207</v>
      </c>
      <c r="M87">
        <f>'LDV sales'!M180</f>
        <v>1414.9073490000001</v>
      </c>
      <c r="N87">
        <f>'LDV sales'!N180</f>
        <v>1413.4342039999999</v>
      </c>
      <c r="O87">
        <f>'LDV sales'!O180</f>
        <v>1408.3043210000001</v>
      </c>
      <c r="P87">
        <f>'LDV sales'!P180</f>
        <v>1368.9842530000001</v>
      </c>
      <c r="Q87">
        <f>'LDV sales'!Q180</f>
        <v>1361.7001949999999</v>
      </c>
      <c r="R87">
        <f>'LDV sales'!R180</f>
        <v>1354.5302730000001</v>
      </c>
      <c r="S87">
        <f>'LDV sales'!S180</f>
        <v>1351.259399</v>
      </c>
      <c r="T87">
        <f>'LDV sales'!T180</f>
        <v>1348.69812</v>
      </c>
      <c r="U87">
        <f>'LDV sales'!U180</f>
        <v>1352.939453</v>
      </c>
      <c r="V87">
        <f>'LDV sales'!V180</f>
        <v>1363.1123050000001</v>
      </c>
      <c r="W87">
        <f>'LDV sales'!W180</f>
        <v>1370.948975</v>
      </c>
      <c r="X87">
        <f>'LDV sales'!X180</f>
        <v>1384.605591</v>
      </c>
      <c r="Y87">
        <f>'LDV sales'!Y180</f>
        <v>1400.8229980000001</v>
      </c>
      <c r="Z87">
        <f>'LDV sales'!Z180</f>
        <v>1409.338013</v>
      </c>
      <c r="AA87">
        <f>'LDV sales'!AA180</f>
        <v>1416.322754</v>
      </c>
      <c r="AB87">
        <f>'LDV sales'!AB180</f>
        <v>1424.8883060000001</v>
      </c>
      <c r="AC87">
        <f>'LDV sales'!AC180</f>
        <v>1431.1875</v>
      </c>
      <c r="AD87">
        <f>'LDV sales'!AD180</f>
        <v>1444.5454099999999</v>
      </c>
      <c r="AE87">
        <f>'LDV sales'!AE180</f>
        <v>1456.6755370000001</v>
      </c>
      <c r="AF87">
        <f>'LDV sales'!AF180</f>
        <v>1461.8835449999999</v>
      </c>
      <c r="AG87">
        <f>'LDV sales'!AG180</f>
        <v>1469.5970460000001</v>
      </c>
      <c r="AH87">
        <f>'LDV sales'!AH180</f>
        <v>1482.3714600000001</v>
      </c>
      <c r="AI87">
        <f>'LDV sales'!AI180</f>
        <v>1494.6076660000001</v>
      </c>
    </row>
    <row r="88" spans="1:35" x14ac:dyDescent="0.35">
      <c r="F88" s="74">
        <f t="shared" ref="F88:AI88" si="5">F86+F87</f>
        <v>2208.41095</v>
      </c>
      <c r="G88" s="74">
        <f t="shared" si="5"/>
        <v>2208.3462520000003</v>
      </c>
      <c r="H88" s="74">
        <f t="shared" si="5"/>
        <v>2215.483154</v>
      </c>
      <c r="I88" s="74">
        <f t="shared" si="5"/>
        <v>2208.6833489999999</v>
      </c>
      <c r="J88" s="74">
        <f t="shared" si="5"/>
        <v>2202.4001470000003</v>
      </c>
      <c r="K88" s="74">
        <f t="shared" si="5"/>
        <v>2214.6907350000001</v>
      </c>
      <c r="L88" s="74">
        <f t="shared" si="5"/>
        <v>2207.0205080000001</v>
      </c>
      <c r="M88" s="74">
        <f t="shared" si="5"/>
        <v>2187.3635260000001</v>
      </c>
      <c r="N88" s="74">
        <f t="shared" si="5"/>
        <v>2179.876221</v>
      </c>
      <c r="O88" s="74">
        <f t="shared" si="5"/>
        <v>2172.8550409999998</v>
      </c>
      <c r="P88" s="74">
        <f t="shared" si="5"/>
        <v>2170.1214600000003</v>
      </c>
      <c r="Q88" s="74">
        <f t="shared" si="5"/>
        <v>2159.6057129999999</v>
      </c>
      <c r="R88" s="74">
        <f t="shared" si="5"/>
        <v>2159.9601440000001</v>
      </c>
      <c r="S88" s="74">
        <f t="shared" si="5"/>
        <v>2156.818847</v>
      </c>
      <c r="T88" s="74">
        <f t="shared" si="5"/>
        <v>2151.852112</v>
      </c>
      <c r="U88" s="74">
        <f t="shared" si="5"/>
        <v>2156.1499020000001</v>
      </c>
      <c r="V88" s="74">
        <f t="shared" si="5"/>
        <v>2168.3454590000001</v>
      </c>
      <c r="W88" s="74">
        <f t="shared" si="5"/>
        <v>2179.1976319999999</v>
      </c>
      <c r="X88" s="74">
        <f t="shared" si="5"/>
        <v>2193.481507</v>
      </c>
      <c r="Y88" s="74">
        <f t="shared" si="5"/>
        <v>2216.1499629999998</v>
      </c>
      <c r="Z88" s="74">
        <f t="shared" si="5"/>
        <v>2224.5082400000001</v>
      </c>
      <c r="AA88" s="74">
        <f t="shared" si="5"/>
        <v>2228.7813719999999</v>
      </c>
      <c r="AB88" s="74">
        <f t="shared" si="5"/>
        <v>2238.9456180000002</v>
      </c>
      <c r="AC88" s="74">
        <f t="shared" si="5"/>
        <v>2245.1892699999999</v>
      </c>
      <c r="AD88" s="74">
        <f t="shared" si="5"/>
        <v>2260.9948730000001</v>
      </c>
      <c r="AE88" s="74">
        <f t="shared" si="5"/>
        <v>2275.8115230000003</v>
      </c>
      <c r="AF88" s="74">
        <f t="shared" si="5"/>
        <v>2277.2902219999996</v>
      </c>
      <c r="AG88" s="74">
        <f t="shared" si="5"/>
        <v>2280.487427</v>
      </c>
      <c r="AH88" s="74">
        <f t="shared" si="5"/>
        <v>2292.0402830000003</v>
      </c>
      <c r="AI88" s="74">
        <f t="shared" si="5"/>
        <v>2303.6008300000003</v>
      </c>
    </row>
    <row r="89" spans="1:35" x14ac:dyDescent="0.35">
      <c r="A89" t="s">
        <v>1194</v>
      </c>
      <c r="B89" s="74">
        <f t="shared" ref="B89:E90" si="6">C89</f>
        <v>0.43283044444241686</v>
      </c>
      <c r="C89" s="74">
        <f t="shared" si="6"/>
        <v>0.43283044444241686</v>
      </c>
      <c r="D89" s="74">
        <f t="shared" si="6"/>
        <v>0.43283044444241686</v>
      </c>
      <c r="E89">
        <f t="shared" si="6"/>
        <v>0.43283044444241686</v>
      </c>
      <c r="F89">
        <f t="shared" ref="F89:AI89" si="7">F86/F88</f>
        <v>0.43283044444241686</v>
      </c>
      <c r="G89" s="74">
        <f t="shared" si="7"/>
        <v>0.41323356976902187</v>
      </c>
      <c r="H89" s="74">
        <f t="shared" si="7"/>
        <v>0.39185860042878934</v>
      </c>
      <c r="I89" s="74">
        <f t="shared" si="7"/>
        <v>0.37858955579965303</v>
      </c>
      <c r="J89" s="74">
        <f t="shared" si="7"/>
        <v>0.36549979716288128</v>
      </c>
      <c r="K89" s="74">
        <f t="shared" si="7"/>
        <v>0.35862108846542851</v>
      </c>
      <c r="L89" s="74">
        <f t="shared" si="7"/>
        <v>0.35489398406623229</v>
      </c>
      <c r="M89" s="74">
        <f t="shared" si="7"/>
        <v>0.35314485581305244</v>
      </c>
      <c r="N89" s="74">
        <f t="shared" si="7"/>
        <v>0.3515988704388</v>
      </c>
      <c r="O89" s="74">
        <f t="shared" si="7"/>
        <v>0.35186457705348601</v>
      </c>
      <c r="P89" s="74">
        <f t="shared" si="7"/>
        <v>0.36916698985134216</v>
      </c>
      <c r="Q89" s="74">
        <f t="shared" si="7"/>
        <v>0.3694681455957049</v>
      </c>
      <c r="R89" s="74">
        <f t="shared" si="7"/>
        <v>0.37289108006800331</v>
      </c>
      <c r="S89" s="74">
        <f t="shared" si="7"/>
        <v>0.37349425480052845</v>
      </c>
      <c r="T89" s="74">
        <f t="shared" si="7"/>
        <v>0.37323847095306334</v>
      </c>
      <c r="U89" s="74">
        <f t="shared" si="7"/>
        <v>0.37252068989032655</v>
      </c>
      <c r="V89" s="74">
        <f t="shared" si="7"/>
        <v>0.37135833252850692</v>
      </c>
      <c r="W89" s="74">
        <f t="shared" si="7"/>
        <v>0.37089277499728857</v>
      </c>
      <c r="X89" s="74">
        <f t="shared" si="7"/>
        <v>0.36876349922196994</v>
      </c>
      <c r="Y89" s="74">
        <f t="shared" si="7"/>
        <v>0.36790243377586812</v>
      </c>
      <c r="Z89" s="74">
        <f t="shared" si="7"/>
        <v>0.36644963248146922</v>
      </c>
      <c r="AA89" s="74">
        <f t="shared" si="7"/>
        <v>0.36453042375840533</v>
      </c>
      <c r="AB89" s="74">
        <f t="shared" si="7"/>
        <v>0.36358958674806008</v>
      </c>
      <c r="AC89" s="74">
        <f t="shared" si="7"/>
        <v>0.36255374140461666</v>
      </c>
      <c r="AD89" s="74">
        <f t="shared" si="7"/>
        <v>0.36110186394040533</v>
      </c>
      <c r="AE89" s="74">
        <f t="shared" si="7"/>
        <v>0.35993138171662203</v>
      </c>
      <c r="AF89" s="74">
        <f t="shared" si="7"/>
        <v>0.35806006152517528</v>
      </c>
      <c r="AG89" s="74">
        <f t="shared" si="7"/>
        <v>0.35557765914400724</v>
      </c>
      <c r="AH89" s="74">
        <f t="shared" si="7"/>
        <v>0.35325244019718649</v>
      </c>
      <c r="AI89" s="74">
        <f t="shared" si="7"/>
        <v>0.35118634854806852</v>
      </c>
    </row>
    <row r="90" spans="1:35" x14ac:dyDescent="0.35">
      <c r="A90" t="s">
        <v>1195</v>
      </c>
      <c r="B90" s="74">
        <f t="shared" si="6"/>
        <v>0.56716955555758319</v>
      </c>
      <c r="C90" s="74">
        <f t="shared" si="6"/>
        <v>0.56716955555758319</v>
      </c>
      <c r="D90" s="74">
        <f t="shared" si="6"/>
        <v>0.56716955555758319</v>
      </c>
      <c r="E90">
        <f t="shared" si="6"/>
        <v>0.56716955555758319</v>
      </c>
      <c r="F90">
        <f t="shared" ref="F90:AI90" si="8">F87/F88</f>
        <v>0.56716955555758319</v>
      </c>
      <c r="G90" s="74">
        <f t="shared" si="8"/>
        <v>0.58676643023097808</v>
      </c>
      <c r="H90" s="74">
        <f t="shared" si="8"/>
        <v>0.60814139957121061</v>
      </c>
      <c r="I90" s="74">
        <f t="shared" si="8"/>
        <v>0.62141044420034697</v>
      </c>
      <c r="J90" s="74">
        <f t="shared" si="8"/>
        <v>0.63450020283711861</v>
      </c>
      <c r="K90" s="74">
        <f t="shared" si="8"/>
        <v>0.64137891153457138</v>
      </c>
      <c r="L90" s="74">
        <f t="shared" si="8"/>
        <v>0.6451060159337676</v>
      </c>
      <c r="M90" s="74">
        <f t="shared" si="8"/>
        <v>0.64685514418694756</v>
      </c>
      <c r="N90" s="74">
        <f t="shared" si="8"/>
        <v>0.6484011295612</v>
      </c>
      <c r="O90" s="74">
        <f t="shared" si="8"/>
        <v>0.64813542294651405</v>
      </c>
      <c r="P90" s="74">
        <f t="shared" si="8"/>
        <v>0.63083301014865767</v>
      </c>
      <c r="Q90" s="74">
        <f t="shared" si="8"/>
        <v>0.63053185440429516</v>
      </c>
      <c r="R90" s="74">
        <f t="shared" si="8"/>
        <v>0.62710891993199669</v>
      </c>
      <c r="S90" s="74">
        <f t="shared" si="8"/>
        <v>0.62650574519947155</v>
      </c>
      <c r="T90" s="74">
        <f t="shared" si="8"/>
        <v>0.62676152904693661</v>
      </c>
      <c r="U90" s="74">
        <f t="shared" si="8"/>
        <v>0.62747931010967339</v>
      </c>
      <c r="V90" s="74">
        <f t="shared" si="8"/>
        <v>0.62864166747149308</v>
      </c>
      <c r="W90" s="74">
        <f t="shared" si="8"/>
        <v>0.62910722500271155</v>
      </c>
      <c r="X90" s="74">
        <f t="shared" si="8"/>
        <v>0.63123650077803006</v>
      </c>
      <c r="Y90" s="74">
        <f t="shared" si="8"/>
        <v>0.63209756622413205</v>
      </c>
      <c r="Z90" s="74">
        <f t="shared" si="8"/>
        <v>0.63355036751853078</v>
      </c>
      <c r="AA90" s="74">
        <f t="shared" si="8"/>
        <v>0.63546957624159472</v>
      </c>
      <c r="AB90" s="74">
        <f t="shared" si="8"/>
        <v>0.63641041325193992</v>
      </c>
      <c r="AC90" s="74">
        <f t="shared" si="8"/>
        <v>0.6374462585953834</v>
      </c>
      <c r="AD90" s="74">
        <f t="shared" si="8"/>
        <v>0.63889813605959467</v>
      </c>
      <c r="AE90" s="74">
        <f t="shared" si="8"/>
        <v>0.64006861828337791</v>
      </c>
      <c r="AF90" s="74">
        <f t="shared" si="8"/>
        <v>0.64193993847482478</v>
      </c>
      <c r="AG90" s="74">
        <f t="shared" si="8"/>
        <v>0.64442234085599281</v>
      </c>
      <c r="AH90" s="74">
        <f t="shared" si="8"/>
        <v>0.6467475598028134</v>
      </c>
      <c r="AI90" s="74">
        <f t="shared" si="8"/>
        <v>0.64881365145193137</v>
      </c>
    </row>
    <row r="91" spans="1:35" x14ac:dyDescent="0.35">
      <c r="A91"/>
      <c r="B91"/>
      <c r="C91"/>
      <c r="D91"/>
      <c r="E91"/>
      <c r="F91"/>
      <c r="G91"/>
      <c r="H91"/>
      <c r="I91"/>
      <c r="J91"/>
      <c r="K91"/>
      <c r="L91"/>
      <c r="M91"/>
      <c r="N91"/>
      <c r="O91"/>
      <c r="P91"/>
      <c r="Q91"/>
      <c r="R91"/>
      <c r="S91"/>
      <c r="T91"/>
      <c r="U91"/>
      <c r="V91"/>
      <c r="W91"/>
      <c r="X91"/>
      <c r="Y91"/>
      <c r="Z91"/>
      <c r="AA91"/>
      <c r="AB91"/>
      <c r="AC91"/>
      <c r="AD91"/>
      <c r="AE91"/>
      <c r="AF91"/>
      <c r="AG91"/>
      <c r="AH91"/>
      <c r="AI91"/>
    </row>
    <row r="92" spans="1:35" x14ac:dyDescent="0.35">
      <c r="A92" t="s">
        <v>1202</v>
      </c>
      <c r="B92"/>
      <c r="C92"/>
      <c r="D92"/>
      <c r="E92"/>
      <c r="F92"/>
      <c r="G92"/>
      <c r="H92"/>
      <c r="I92"/>
      <c r="J92"/>
      <c r="K92"/>
      <c r="L92"/>
      <c r="M92"/>
      <c r="N92"/>
      <c r="O92"/>
      <c r="P92"/>
      <c r="Q92"/>
      <c r="R92"/>
      <c r="S92"/>
      <c r="T92"/>
      <c r="U92"/>
      <c r="V92"/>
      <c r="W92"/>
      <c r="X92"/>
      <c r="Y92"/>
      <c r="Z92"/>
      <c r="AA92"/>
      <c r="AB92"/>
      <c r="AC92"/>
      <c r="AD92"/>
      <c r="AE92"/>
      <c r="AF92"/>
      <c r="AG92"/>
      <c r="AH92"/>
      <c r="AI92"/>
    </row>
    <row r="93" spans="1:35" x14ac:dyDescent="0.35">
      <c r="A93" t="str">
        <f>'LDV sales'!A145</f>
        <v>Plug-in 20 Gasoline Hybrid</v>
      </c>
      <c r="B93" t="str">
        <f>'LDV sales'!B145</f>
        <v>Light-Duty Vehicle Sales: Alternative-Fuel Cars: Plug-in 20 Gasoline Hybrid: AEO2022 Reference case</v>
      </c>
      <c r="C93" t="str">
        <f>'LDV sales'!C145</f>
        <v>48-AEO2022.13.ref2022-d011222a</v>
      </c>
      <c r="D93" t="str">
        <f>'LDV sales'!D145</f>
        <v>thousands</v>
      </c>
      <c r="E93">
        <f>'LDV sales'!E145</f>
        <v>0</v>
      </c>
      <c r="F93">
        <f>'LDV sales'!F145</f>
        <v>10.874454</v>
      </c>
      <c r="G93">
        <f>'LDV sales'!G145</f>
        <v>9.8351659999999992</v>
      </c>
      <c r="H93">
        <f>'LDV sales'!H145</f>
        <v>8.3997270000000004</v>
      </c>
      <c r="I93">
        <f>'LDV sales'!I145</f>
        <v>8.1111260000000005</v>
      </c>
      <c r="J93">
        <f>'LDV sales'!J145</f>
        <v>8.1395929999999996</v>
      </c>
      <c r="K93">
        <f>'LDV sales'!K145</f>
        <v>8.1536380000000008</v>
      </c>
      <c r="L93">
        <f>'LDV sales'!L145</f>
        <v>8.2175340000000006</v>
      </c>
      <c r="M93">
        <f>'LDV sales'!M145</f>
        <v>8.2848269999999999</v>
      </c>
      <c r="N93">
        <f>'LDV sales'!N145</f>
        <v>8.4620639999999998</v>
      </c>
      <c r="O93">
        <f>'LDV sales'!O145</f>
        <v>8.8023340000000001</v>
      </c>
      <c r="P93">
        <f>'LDV sales'!P145</f>
        <v>10.266228999999999</v>
      </c>
      <c r="Q93">
        <f>'LDV sales'!Q145</f>
        <v>10.691595</v>
      </c>
      <c r="R93">
        <f>'LDV sales'!R145</f>
        <v>11.403995999999999</v>
      </c>
      <c r="S93">
        <f>'LDV sales'!S145</f>
        <v>11.841941</v>
      </c>
      <c r="T93">
        <f>'LDV sales'!T145</f>
        <v>12.223613</v>
      </c>
      <c r="U93">
        <f>'LDV sales'!U145</f>
        <v>12.628372000000001</v>
      </c>
      <c r="V93">
        <f>'LDV sales'!V145</f>
        <v>13.023664999999999</v>
      </c>
      <c r="W93">
        <f>'LDV sales'!W145</f>
        <v>13.464663</v>
      </c>
      <c r="X93">
        <f>'LDV sales'!X145</f>
        <v>13.770270999999999</v>
      </c>
      <c r="Y93">
        <f>'LDV sales'!Y145</f>
        <v>14.263203000000001</v>
      </c>
      <c r="Z93">
        <f>'LDV sales'!Z145</f>
        <v>14.503444</v>
      </c>
      <c r="AA93">
        <f>'LDV sales'!AA145</f>
        <v>14.657933</v>
      </c>
      <c r="AB93">
        <f>'LDV sales'!AB145</f>
        <v>14.946019</v>
      </c>
      <c r="AC93">
        <f>'LDV sales'!AC145</f>
        <v>15.166725</v>
      </c>
      <c r="AD93">
        <f>'LDV sales'!AD145</f>
        <v>15.403482</v>
      </c>
      <c r="AE93">
        <f>'LDV sales'!AE145</f>
        <v>15.683083999999999</v>
      </c>
      <c r="AF93">
        <f>'LDV sales'!AF145</f>
        <v>15.784469</v>
      </c>
      <c r="AG93">
        <f>'LDV sales'!AG145</f>
        <v>15.839793</v>
      </c>
      <c r="AH93">
        <f>'LDV sales'!AH145</f>
        <v>15.965611000000001</v>
      </c>
      <c r="AI93">
        <f>'LDV sales'!AI145</f>
        <v>16.103718000000001</v>
      </c>
    </row>
    <row r="94" spans="1:35" x14ac:dyDescent="0.35">
      <c r="A94" t="str">
        <f>'LDV sales'!A146</f>
        <v>Plug-in 50 Gasoline Hybrid</v>
      </c>
      <c r="B94" t="str">
        <f>'LDV sales'!B146</f>
        <v>Light-Duty Vehicle Sales: Alternative-Fuel Cars: Plug-in 50 Gasoline Hybrid: AEO2022 Reference case</v>
      </c>
      <c r="C94" t="str">
        <f>'LDV sales'!C146</f>
        <v>48-AEO2022.14.ref2022-d011222a</v>
      </c>
      <c r="D94" t="str">
        <f>'LDV sales'!D146</f>
        <v>thousands</v>
      </c>
      <c r="E94">
        <f>'LDV sales'!E146</f>
        <v>0</v>
      </c>
      <c r="F94">
        <f>'LDV sales'!F146</f>
        <v>0.42025099999999999</v>
      </c>
      <c r="G94">
        <f>'LDV sales'!G146</f>
        <v>0.43015199999999998</v>
      </c>
      <c r="H94">
        <f>'LDV sales'!H146</f>
        <v>0.42873499999999998</v>
      </c>
      <c r="I94">
        <f>'LDV sales'!I146</f>
        <v>0.46410899999999999</v>
      </c>
      <c r="J94">
        <f>'LDV sales'!J146</f>
        <v>0.48558400000000002</v>
      </c>
      <c r="K94">
        <f>'LDV sales'!K146</f>
        <v>0.52097199999999999</v>
      </c>
      <c r="L94">
        <f>'LDV sales'!L146</f>
        <v>0.55831200000000003</v>
      </c>
      <c r="M94">
        <f>'LDV sales'!M146</f>
        <v>0.59722500000000001</v>
      </c>
      <c r="N94">
        <f>'LDV sales'!N146</f>
        <v>0.64162699999999995</v>
      </c>
      <c r="O94">
        <f>'LDV sales'!O146</f>
        <v>0.69398499999999996</v>
      </c>
      <c r="P94">
        <f>'LDV sales'!P146</f>
        <v>0.81490200000000002</v>
      </c>
      <c r="Q94">
        <f>'LDV sales'!Q146</f>
        <v>0.87951699999999999</v>
      </c>
      <c r="R94">
        <f>'LDV sales'!R146</f>
        <v>0.95844700000000005</v>
      </c>
      <c r="S94">
        <f>'LDV sales'!S146</f>
        <v>1.0223899999999999</v>
      </c>
      <c r="T94">
        <f>'LDV sales'!T146</f>
        <v>1.0828329999999999</v>
      </c>
      <c r="U94">
        <f>'LDV sales'!U146</f>
        <v>1.146987</v>
      </c>
      <c r="V94">
        <f>'LDV sales'!V146</f>
        <v>1.2128049999999999</v>
      </c>
      <c r="W94">
        <f>'LDV sales'!W146</f>
        <v>1.2826489999999999</v>
      </c>
      <c r="X94">
        <f>'LDV sales'!X146</f>
        <v>1.3449</v>
      </c>
      <c r="Y94">
        <f>'LDV sales'!Y146</f>
        <v>1.421338</v>
      </c>
      <c r="Z94">
        <f>'LDV sales'!Z146</f>
        <v>1.4818370000000001</v>
      </c>
      <c r="AA94">
        <f>'LDV sales'!AA146</f>
        <v>1.53461</v>
      </c>
      <c r="AB94">
        <f>'LDV sales'!AB146</f>
        <v>1.598657</v>
      </c>
      <c r="AC94">
        <f>'LDV sales'!AC146</f>
        <v>1.658409</v>
      </c>
      <c r="AD94">
        <f>'LDV sales'!AD146</f>
        <v>1.7217979999999999</v>
      </c>
      <c r="AE94">
        <f>'LDV sales'!AE146</f>
        <v>1.7863070000000001</v>
      </c>
      <c r="AF94">
        <f>'LDV sales'!AF146</f>
        <v>1.833377</v>
      </c>
      <c r="AG94">
        <f>'LDV sales'!AG146</f>
        <v>1.8764110000000001</v>
      </c>
      <c r="AH94">
        <f>'LDV sales'!AH146</f>
        <v>1.926936</v>
      </c>
      <c r="AI94">
        <f>'LDV sales'!AI146</f>
        <v>1.9788399999999999</v>
      </c>
    </row>
    <row r="95" spans="1:35" x14ac:dyDescent="0.35">
      <c r="A95" t="s">
        <v>877</v>
      </c>
      <c r="B95"/>
      <c r="C95"/>
      <c r="D95"/>
      <c r="E95"/>
      <c r="F95">
        <f t="shared" ref="F95:AI95" si="9">F93+F94</f>
        <v>11.294705</v>
      </c>
      <c r="G95" s="74">
        <f t="shared" si="9"/>
        <v>10.265317999999999</v>
      </c>
      <c r="H95" s="74">
        <f t="shared" si="9"/>
        <v>8.828462</v>
      </c>
      <c r="I95" s="74">
        <f t="shared" si="9"/>
        <v>8.5752350000000011</v>
      </c>
      <c r="J95" s="74">
        <f t="shared" si="9"/>
        <v>8.625176999999999</v>
      </c>
      <c r="K95" s="74">
        <f t="shared" si="9"/>
        <v>8.6746100000000013</v>
      </c>
      <c r="L95" s="74">
        <f t="shared" si="9"/>
        <v>8.7758460000000014</v>
      </c>
      <c r="M95" s="74">
        <f t="shared" si="9"/>
        <v>8.8820519999999998</v>
      </c>
      <c r="N95" s="74">
        <f t="shared" si="9"/>
        <v>9.1036909999999995</v>
      </c>
      <c r="O95" s="74">
        <f t="shared" si="9"/>
        <v>9.4963189999999997</v>
      </c>
      <c r="P95" s="74">
        <f t="shared" si="9"/>
        <v>11.081130999999999</v>
      </c>
      <c r="Q95" s="74">
        <f t="shared" si="9"/>
        <v>11.571111999999999</v>
      </c>
      <c r="R95" s="74">
        <f t="shared" si="9"/>
        <v>12.362442999999999</v>
      </c>
      <c r="S95" s="74">
        <f t="shared" si="9"/>
        <v>12.864331</v>
      </c>
      <c r="T95" s="74">
        <f t="shared" si="9"/>
        <v>13.306446000000001</v>
      </c>
      <c r="U95" s="74">
        <f t="shared" si="9"/>
        <v>13.775359</v>
      </c>
      <c r="V95" s="74">
        <f t="shared" si="9"/>
        <v>14.236469999999999</v>
      </c>
      <c r="W95" s="74">
        <f t="shared" si="9"/>
        <v>14.747311999999999</v>
      </c>
      <c r="X95" s="74">
        <f t="shared" si="9"/>
        <v>15.115171</v>
      </c>
      <c r="Y95" s="74">
        <f t="shared" si="9"/>
        <v>15.684541000000001</v>
      </c>
      <c r="Z95" s="74">
        <f t="shared" si="9"/>
        <v>15.985281000000001</v>
      </c>
      <c r="AA95" s="74">
        <f t="shared" si="9"/>
        <v>16.192543000000001</v>
      </c>
      <c r="AB95" s="74">
        <f t="shared" si="9"/>
        <v>16.544675999999999</v>
      </c>
      <c r="AC95" s="74">
        <f t="shared" si="9"/>
        <v>16.825133999999998</v>
      </c>
      <c r="AD95" s="74">
        <f t="shared" si="9"/>
        <v>17.12528</v>
      </c>
      <c r="AE95" s="74">
        <f t="shared" si="9"/>
        <v>17.469390999999998</v>
      </c>
      <c r="AF95" s="74">
        <f t="shared" si="9"/>
        <v>17.617846</v>
      </c>
      <c r="AG95" s="74">
        <f t="shared" si="9"/>
        <v>17.716204000000001</v>
      </c>
      <c r="AH95" s="74">
        <f t="shared" si="9"/>
        <v>17.892547</v>
      </c>
      <c r="AI95" s="74">
        <f t="shared" si="9"/>
        <v>18.082557999999999</v>
      </c>
    </row>
    <row r="96" spans="1:35" x14ac:dyDescent="0.35">
      <c r="A96" t="s">
        <v>1210</v>
      </c>
      <c r="B96"/>
      <c r="C96"/>
      <c r="D96"/>
      <c r="E96"/>
      <c r="F96">
        <f t="shared" ref="F96:AI96" si="10">(F93/F95)*20+F94/F95*50</f>
        <v>21.116233668785505</v>
      </c>
      <c r="G96" s="74">
        <f t="shared" si="10"/>
        <v>21.257102799932746</v>
      </c>
      <c r="H96" s="74">
        <f t="shared" si="10"/>
        <v>21.456884562679207</v>
      </c>
      <c r="I96" s="74">
        <f t="shared" si="10"/>
        <v>21.623660459450967</v>
      </c>
      <c r="J96" s="74">
        <f t="shared" si="10"/>
        <v>21.688953165830686</v>
      </c>
      <c r="K96" s="74">
        <f t="shared" si="10"/>
        <v>21.801713275870611</v>
      </c>
      <c r="L96" s="74">
        <f t="shared" si="10"/>
        <v>21.908574968156916</v>
      </c>
      <c r="M96" s="74">
        <f t="shared" si="10"/>
        <v>22.017185893530009</v>
      </c>
      <c r="N96" s="74">
        <f t="shared" si="10"/>
        <v>22.114396237745769</v>
      </c>
      <c r="O96" s="74">
        <f t="shared" si="10"/>
        <v>22.192381068917339</v>
      </c>
      <c r="P96" s="74">
        <f t="shared" si="10"/>
        <v>22.206188158952369</v>
      </c>
      <c r="Q96" s="74">
        <f t="shared" si="10"/>
        <v>22.280291643534348</v>
      </c>
      <c r="R96" s="74">
        <f t="shared" si="10"/>
        <v>22.325867953445773</v>
      </c>
      <c r="S96" s="74">
        <f t="shared" si="10"/>
        <v>22.384243689003338</v>
      </c>
      <c r="T96" s="74">
        <f t="shared" si="10"/>
        <v>22.44129724796538</v>
      </c>
      <c r="U96" s="74">
        <f t="shared" si="10"/>
        <v>22.497910217802673</v>
      </c>
      <c r="V96" s="74">
        <f t="shared" si="10"/>
        <v>22.55570025434676</v>
      </c>
      <c r="W96" s="74">
        <f t="shared" si="10"/>
        <v>22.609253130333176</v>
      </c>
      <c r="X96" s="74">
        <f t="shared" si="10"/>
        <v>22.669304899031573</v>
      </c>
      <c r="Y96" s="74">
        <f t="shared" si="10"/>
        <v>22.718609361918848</v>
      </c>
      <c r="Z96" s="74">
        <f t="shared" si="10"/>
        <v>22.781002723693128</v>
      </c>
      <c r="AA96" s="74">
        <f t="shared" si="10"/>
        <v>22.843179110285519</v>
      </c>
      <c r="AB96" s="74">
        <f t="shared" si="10"/>
        <v>22.898800194092651</v>
      </c>
      <c r="AC96" s="74">
        <f t="shared" si="10"/>
        <v>22.957020728631349</v>
      </c>
      <c r="AD96" s="74">
        <f t="shared" si="10"/>
        <v>23.016239150542358</v>
      </c>
      <c r="AE96" s="74">
        <f t="shared" si="10"/>
        <v>23.067606077395602</v>
      </c>
      <c r="AF96" s="74">
        <f t="shared" si="10"/>
        <v>23.121908887159076</v>
      </c>
      <c r="AG96" s="74">
        <f t="shared" si="10"/>
        <v>23.17744873563208</v>
      </c>
      <c r="AH96" s="74">
        <f t="shared" si="10"/>
        <v>23.230846899549853</v>
      </c>
      <c r="AI96" s="74">
        <f t="shared" si="10"/>
        <v>23.283008963665431</v>
      </c>
    </row>
    <row r="97" spans="1:36" x14ac:dyDescent="0.35">
      <c r="A97" t="s">
        <v>1203</v>
      </c>
      <c r="B97"/>
      <c r="C97"/>
      <c r="D97"/>
      <c r="E97"/>
      <c r="F97"/>
      <c r="G97"/>
      <c r="H97"/>
      <c r="I97"/>
      <c r="J97"/>
      <c r="K97"/>
      <c r="L97"/>
      <c r="M97"/>
      <c r="N97"/>
      <c r="O97"/>
      <c r="P97"/>
      <c r="Q97"/>
      <c r="R97"/>
      <c r="S97"/>
      <c r="T97"/>
      <c r="U97"/>
      <c r="V97"/>
      <c r="W97"/>
      <c r="X97"/>
      <c r="Y97"/>
      <c r="Z97"/>
      <c r="AA97"/>
      <c r="AB97"/>
      <c r="AC97"/>
      <c r="AD97"/>
      <c r="AE97"/>
      <c r="AF97"/>
      <c r="AG97"/>
      <c r="AH97"/>
      <c r="AI97"/>
    </row>
    <row r="98" spans="1:36" x14ac:dyDescent="0.35">
      <c r="A98" t="str">
        <f>'LDV sales'!A168</f>
        <v>Plug-in 20 Gasoline Hybrid</v>
      </c>
      <c r="B98" t="str">
        <f>'LDV sales'!B168</f>
        <v>Light-Duty Vehicle Sales: Alternative-Fuel Light Trucks: Plug-in 20 Gasoline Hybrid: AEO2022 Reference case</v>
      </c>
      <c r="C98" t="str">
        <f>'LDV sales'!C168</f>
        <v>48-AEO2022.39.ref2022-d011222a</v>
      </c>
      <c r="D98" t="str">
        <f>'LDV sales'!D168</f>
        <v>thousands</v>
      </c>
      <c r="E98"/>
      <c r="F98">
        <f>'LDV sales'!F168</f>
        <v>10.869331000000001</v>
      </c>
      <c r="G98">
        <f>'LDV sales'!G168</f>
        <v>9.4241910000000004</v>
      </c>
      <c r="H98">
        <f>'LDV sales'!H168</f>
        <v>9.2803789999999999</v>
      </c>
      <c r="I98">
        <f>'LDV sales'!I168</f>
        <v>9.3416340000000009</v>
      </c>
      <c r="J98">
        <f>'LDV sales'!J168</f>
        <v>9.288729</v>
      </c>
      <c r="K98">
        <f>'LDV sales'!K168</f>
        <v>9.2996359999999996</v>
      </c>
      <c r="L98">
        <f>'LDV sales'!L168</f>
        <v>9.3025579999999994</v>
      </c>
      <c r="M98">
        <f>'LDV sales'!M168</f>
        <v>9.3038989999999995</v>
      </c>
      <c r="N98">
        <f>'LDV sales'!N168</f>
        <v>9.4069179999999992</v>
      </c>
      <c r="O98">
        <f>'LDV sales'!O168</f>
        <v>9.6102019999999992</v>
      </c>
      <c r="P98">
        <f>'LDV sales'!P168</f>
        <v>10.101037</v>
      </c>
      <c r="Q98">
        <f>'LDV sales'!Q168</f>
        <v>10.385539</v>
      </c>
      <c r="R98">
        <f>'LDV sales'!R168</f>
        <v>10.799319000000001</v>
      </c>
      <c r="S98">
        <f>'LDV sales'!S168</f>
        <v>11.130931</v>
      </c>
      <c r="T98">
        <f>'LDV sales'!T168</f>
        <v>11.436602000000001</v>
      </c>
      <c r="U98">
        <f>'LDV sales'!U168</f>
        <v>11.792935</v>
      </c>
      <c r="V98">
        <f>'LDV sales'!V168</f>
        <v>12.178732999999999</v>
      </c>
      <c r="W98">
        <f>'LDV sales'!W168</f>
        <v>12.576775</v>
      </c>
      <c r="X98">
        <f>'LDV sales'!X168</f>
        <v>12.965393000000001</v>
      </c>
      <c r="Y98">
        <f>'LDV sales'!Y168</f>
        <v>13.421402</v>
      </c>
      <c r="Z98">
        <f>'LDV sales'!Z168</f>
        <v>13.73631</v>
      </c>
      <c r="AA98">
        <f>'LDV sales'!AA168</f>
        <v>13.996442999999999</v>
      </c>
      <c r="AB98">
        <f>'LDV sales'!AB168</f>
        <v>14.301352</v>
      </c>
      <c r="AC98">
        <f>'LDV sales'!AC168</f>
        <v>14.57197</v>
      </c>
      <c r="AD98">
        <f>'LDV sales'!AD168</f>
        <v>14.893776000000001</v>
      </c>
      <c r="AE98">
        <f>'LDV sales'!AE168</f>
        <v>15.210190000000001</v>
      </c>
      <c r="AF98">
        <f>'LDV sales'!AF168</f>
        <v>15.410399</v>
      </c>
      <c r="AG98">
        <f>'LDV sales'!AG168</f>
        <v>15.615111000000001</v>
      </c>
      <c r="AH98">
        <f>'LDV sales'!AH168</f>
        <v>15.874045000000001</v>
      </c>
      <c r="AI98">
        <f>'LDV sales'!AI168</f>
        <v>16.134577</v>
      </c>
    </row>
    <row r="99" spans="1:36" x14ac:dyDescent="0.35">
      <c r="A99" t="str">
        <f>'LDV sales'!A169</f>
        <v>Plug-in 50 Gasoline Hybrid</v>
      </c>
      <c r="B99" t="str">
        <f>'LDV sales'!B169</f>
        <v>Light-Duty Vehicle Sales: Alternative-Fuel Light Trucks: Plug-in 50 Gasoline Hybrid: AEO2022 Reference case</v>
      </c>
      <c r="C99" t="str">
        <f>'LDV sales'!C169</f>
        <v>48-AEO2022.40.ref2022-d011222a</v>
      </c>
      <c r="D99" t="str">
        <f>'LDV sales'!D169</f>
        <v>thousands</v>
      </c>
      <c r="E99"/>
      <c r="F99">
        <f>'LDV sales'!F169</f>
        <v>4.5613060000000001</v>
      </c>
      <c r="G99">
        <f>'LDV sales'!G169</f>
        <v>22.866707000000002</v>
      </c>
      <c r="H99">
        <f>'LDV sales'!H169</f>
        <v>28.889965</v>
      </c>
      <c r="I99">
        <f>'LDV sales'!I169</f>
        <v>30.139986</v>
      </c>
      <c r="J99">
        <f>'LDV sales'!J169</f>
        <v>30.286277999999999</v>
      </c>
      <c r="K99">
        <f>'LDV sales'!K169</f>
        <v>30.271470999999998</v>
      </c>
      <c r="L99">
        <f>'LDV sales'!L169</f>
        <v>30.169018000000001</v>
      </c>
      <c r="M99">
        <f>'LDV sales'!M169</f>
        <v>30.027692999999999</v>
      </c>
      <c r="N99">
        <f>'LDV sales'!N169</f>
        <v>30.213895999999998</v>
      </c>
      <c r="O99">
        <f>'LDV sales'!O169</f>
        <v>30.693746999999998</v>
      </c>
      <c r="P99">
        <f>'LDV sales'!P169</f>
        <v>32.190331</v>
      </c>
      <c r="Q99">
        <f>'LDV sales'!Q169</f>
        <v>33.305107</v>
      </c>
      <c r="R99">
        <f>'LDV sales'!R169</f>
        <v>34.316707999999998</v>
      </c>
      <c r="S99">
        <f>'LDV sales'!S169</f>
        <v>35.140236000000002</v>
      </c>
      <c r="T99">
        <f>'LDV sales'!T169</f>
        <v>35.856327</v>
      </c>
      <c r="U99">
        <f>'LDV sales'!U169</f>
        <v>36.741058000000002</v>
      </c>
      <c r="V99">
        <f>'LDV sales'!V169</f>
        <v>37.744594999999997</v>
      </c>
      <c r="W99">
        <f>'LDV sales'!W169</f>
        <v>38.764957000000003</v>
      </c>
      <c r="X99">
        <f>'LDV sales'!X169</f>
        <v>39.801380000000002</v>
      </c>
      <c r="Y99">
        <f>'LDV sales'!Y169</f>
        <v>41.027267000000002</v>
      </c>
      <c r="Z99">
        <f>'LDV sales'!Z169</f>
        <v>41.918838999999998</v>
      </c>
      <c r="AA99">
        <f>'LDV sales'!AA169</f>
        <v>42.645515000000003</v>
      </c>
      <c r="AB99">
        <f>'LDV sales'!AB169</f>
        <v>43.512970000000003</v>
      </c>
      <c r="AC99">
        <f>'LDV sales'!AC169</f>
        <v>44.302078000000002</v>
      </c>
      <c r="AD99">
        <f>'LDV sales'!AD169</f>
        <v>45.245215999999999</v>
      </c>
      <c r="AE99">
        <f>'LDV sales'!AE169</f>
        <v>46.155814999999997</v>
      </c>
      <c r="AF99">
        <f>'LDV sales'!AF169</f>
        <v>46.740726000000002</v>
      </c>
      <c r="AG99">
        <f>'LDV sales'!AG169</f>
        <v>47.322482999999998</v>
      </c>
      <c r="AH99">
        <f>'LDV sales'!AH169</f>
        <v>48.059254000000003</v>
      </c>
      <c r="AI99">
        <f>'LDV sales'!AI169</f>
        <v>48.821776999999997</v>
      </c>
    </row>
    <row r="100" spans="1:36" x14ac:dyDescent="0.35">
      <c r="A100" s="74" t="s">
        <v>877</v>
      </c>
      <c r="B100"/>
      <c r="C100"/>
      <c r="D100"/>
      <c r="E100"/>
      <c r="F100" s="74">
        <f t="shared" ref="F100:AI100" si="11">F98+F99</f>
        <v>15.430637000000001</v>
      </c>
      <c r="G100" s="74">
        <f t="shared" si="11"/>
        <v>32.290897999999999</v>
      </c>
      <c r="H100" s="74">
        <f t="shared" si="11"/>
        <v>38.170344</v>
      </c>
      <c r="I100" s="74">
        <f t="shared" si="11"/>
        <v>39.481619999999999</v>
      </c>
      <c r="J100" s="74">
        <f t="shared" si="11"/>
        <v>39.575006999999999</v>
      </c>
      <c r="K100" s="74">
        <f t="shared" si="11"/>
        <v>39.571106999999998</v>
      </c>
      <c r="L100" s="74">
        <f t="shared" si="11"/>
        <v>39.471575999999999</v>
      </c>
      <c r="M100" s="74">
        <f t="shared" si="11"/>
        <v>39.331592000000001</v>
      </c>
      <c r="N100" s="74">
        <f t="shared" si="11"/>
        <v>39.620813999999996</v>
      </c>
      <c r="O100" s="74">
        <f t="shared" si="11"/>
        <v>40.303948999999996</v>
      </c>
      <c r="P100" s="74">
        <f t="shared" si="11"/>
        <v>42.291367999999999</v>
      </c>
      <c r="Q100" s="74">
        <f t="shared" si="11"/>
        <v>43.690646000000001</v>
      </c>
      <c r="R100" s="74">
        <f t="shared" si="11"/>
        <v>45.116027000000003</v>
      </c>
      <c r="S100" s="74">
        <f t="shared" si="11"/>
        <v>46.271167000000005</v>
      </c>
      <c r="T100" s="74">
        <f t="shared" si="11"/>
        <v>47.292929000000001</v>
      </c>
      <c r="U100" s="74">
        <f t="shared" si="11"/>
        <v>48.533993000000002</v>
      </c>
      <c r="V100" s="74">
        <f t="shared" si="11"/>
        <v>49.923327999999998</v>
      </c>
      <c r="W100" s="74">
        <f t="shared" si="11"/>
        <v>51.341732</v>
      </c>
      <c r="X100" s="74">
        <f t="shared" si="11"/>
        <v>52.766773000000001</v>
      </c>
      <c r="Y100" s="74">
        <f t="shared" si="11"/>
        <v>54.448669000000002</v>
      </c>
      <c r="Z100" s="74">
        <f t="shared" si="11"/>
        <v>55.655148999999994</v>
      </c>
      <c r="AA100" s="74">
        <f t="shared" si="11"/>
        <v>56.641958000000002</v>
      </c>
      <c r="AB100" s="74">
        <f t="shared" si="11"/>
        <v>57.814322000000004</v>
      </c>
      <c r="AC100" s="74">
        <f t="shared" si="11"/>
        <v>58.874048000000002</v>
      </c>
      <c r="AD100" s="74">
        <f t="shared" si="11"/>
        <v>60.138992000000002</v>
      </c>
      <c r="AE100" s="74">
        <f t="shared" si="11"/>
        <v>61.366005000000001</v>
      </c>
      <c r="AF100" s="74">
        <f t="shared" si="11"/>
        <v>62.151125</v>
      </c>
      <c r="AG100" s="74">
        <f t="shared" si="11"/>
        <v>62.937593999999997</v>
      </c>
      <c r="AH100" s="74">
        <f t="shared" si="11"/>
        <v>63.933299000000005</v>
      </c>
      <c r="AI100" s="74">
        <f t="shared" si="11"/>
        <v>64.956354000000005</v>
      </c>
    </row>
    <row r="101" spans="1:36" x14ac:dyDescent="0.35">
      <c r="A101" s="74" t="s">
        <v>1210</v>
      </c>
      <c r="B101"/>
      <c r="C101"/>
      <c r="D101"/>
      <c r="E101"/>
      <c r="F101" s="74">
        <f t="shared" ref="F101:AI101" si="12">(F98/F100)*20+F99/F100*50</f>
        <v>28.868018864030041</v>
      </c>
      <c r="G101" s="74">
        <f t="shared" si="12"/>
        <v>41.244414138002611</v>
      </c>
      <c r="H101" s="74">
        <f t="shared" si="12"/>
        <v>42.70608171621403</v>
      </c>
      <c r="I101" s="74">
        <f t="shared" si="12"/>
        <v>42.901785185106384</v>
      </c>
      <c r="J101" s="74">
        <f t="shared" si="12"/>
        <v>42.958640032584199</v>
      </c>
      <c r="K101" s="74">
        <f t="shared" si="12"/>
        <v>42.949677147015372</v>
      </c>
      <c r="L101" s="74">
        <f t="shared" si="12"/>
        <v>42.929678308259092</v>
      </c>
      <c r="M101" s="74">
        <f t="shared" si="12"/>
        <v>42.903491676614564</v>
      </c>
      <c r="N101" s="74">
        <f t="shared" si="12"/>
        <v>42.87729070886833</v>
      </c>
      <c r="O101" s="74">
        <f t="shared" si="12"/>
        <v>42.846704425911213</v>
      </c>
      <c r="P101" s="74">
        <f t="shared" si="12"/>
        <v>42.83468177241275</v>
      </c>
      <c r="Q101" s="74">
        <f t="shared" si="12"/>
        <v>42.868812926226816</v>
      </c>
      <c r="R101" s="74">
        <f t="shared" si="12"/>
        <v>42.818969409695583</v>
      </c>
      <c r="S101" s="74">
        <f t="shared" si="12"/>
        <v>42.78323950636473</v>
      </c>
      <c r="T101" s="74">
        <f t="shared" si="12"/>
        <v>42.745256695773698</v>
      </c>
      <c r="U101" s="74">
        <f t="shared" si="12"/>
        <v>42.710510136678842</v>
      </c>
      <c r="V101" s="74">
        <f t="shared" si="12"/>
        <v>42.681537777289208</v>
      </c>
      <c r="W101" s="74">
        <f t="shared" si="12"/>
        <v>42.651139038316828</v>
      </c>
      <c r="X101" s="74">
        <f t="shared" si="12"/>
        <v>42.628660653551812</v>
      </c>
      <c r="Y101" s="74">
        <f t="shared" si="12"/>
        <v>42.605107390228405</v>
      </c>
      <c r="Z101" s="74">
        <f t="shared" si="12"/>
        <v>42.595666215896756</v>
      </c>
      <c r="AA101" s="74">
        <f t="shared" si="12"/>
        <v>42.58688603243553</v>
      </c>
      <c r="AB101" s="74">
        <f t="shared" si="12"/>
        <v>42.578991759169988</v>
      </c>
      <c r="AC101" s="74">
        <f t="shared" si="12"/>
        <v>42.574672290242383</v>
      </c>
      <c r="AD101" s="74">
        <f t="shared" si="12"/>
        <v>42.570323094208163</v>
      </c>
      <c r="AE101" s="74">
        <f t="shared" si="12"/>
        <v>42.564194133217569</v>
      </c>
      <c r="AF101" s="74">
        <f t="shared" si="12"/>
        <v>42.561486698752439</v>
      </c>
      <c r="AG101" s="74">
        <f t="shared" si="12"/>
        <v>42.556859895216213</v>
      </c>
      <c r="AH101" s="74">
        <f t="shared" si="12"/>
        <v>42.551278325243317</v>
      </c>
      <c r="AI101" s="74">
        <f t="shared" si="12"/>
        <v>42.548268488098941</v>
      </c>
    </row>
    <row r="104" spans="1:36" x14ac:dyDescent="0.35">
      <c r="A104" s="74" t="s">
        <v>1035</v>
      </c>
    </row>
    <row r="105" spans="1:36" x14ac:dyDescent="0.35">
      <c r="A105" s="74" t="s">
        <v>1034</v>
      </c>
    </row>
    <row r="106" spans="1:36" x14ac:dyDescent="0.35">
      <c r="A106" s="74" t="s">
        <v>1033</v>
      </c>
    </row>
    <row r="107" spans="1:36" x14ac:dyDescent="0.35">
      <c r="A107" s="74" t="s">
        <v>1032</v>
      </c>
    </row>
    <row r="108" spans="1:36" x14ac:dyDescent="0.35">
      <c r="B108" s="74" t="s">
        <v>1031</v>
      </c>
      <c r="C108" s="74" t="s">
        <v>1030</v>
      </c>
      <c r="D108" s="74" t="s">
        <v>1029</v>
      </c>
      <c r="E108" s="74">
        <v>2020</v>
      </c>
      <c r="F108" s="74">
        <v>2021</v>
      </c>
      <c r="G108" s="74">
        <v>2022</v>
      </c>
      <c r="H108" s="74">
        <v>2023</v>
      </c>
      <c r="I108" s="74">
        <v>2024</v>
      </c>
      <c r="J108" s="74">
        <v>2025</v>
      </c>
      <c r="K108" s="74">
        <v>2026</v>
      </c>
      <c r="L108" s="74">
        <v>2027</v>
      </c>
      <c r="M108" s="74">
        <v>2028</v>
      </c>
      <c r="N108" s="74">
        <v>2029</v>
      </c>
      <c r="O108" s="74">
        <v>2030</v>
      </c>
      <c r="P108" s="74">
        <v>2031</v>
      </c>
      <c r="Q108" s="74">
        <v>2032</v>
      </c>
      <c r="R108" s="74">
        <v>2033</v>
      </c>
      <c r="S108" s="74">
        <v>2034</v>
      </c>
      <c r="T108" s="74">
        <v>2035</v>
      </c>
      <c r="U108" s="74">
        <v>2036</v>
      </c>
      <c r="V108" s="74">
        <v>2037</v>
      </c>
      <c r="W108" s="74">
        <v>2038</v>
      </c>
      <c r="X108" s="74">
        <v>2039</v>
      </c>
      <c r="Y108" s="74">
        <v>2040</v>
      </c>
      <c r="Z108" s="74">
        <v>2041</v>
      </c>
      <c r="AA108" s="74">
        <v>2042</v>
      </c>
      <c r="AB108" s="74">
        <v>2043</v>
      </c>
      <c r="AC108" s="74">
        <v>2044</v>
      </c>
      <c r="AD108" s="74">
        <v>2045</v>
      </c>
      <c r="AE108" s="74">
        <v>2046</v>
      </c>
      <c r="AF108" s="74">
        <v>2047</v>
      </c>
      <c r="AG108" s="74">
        <v>2048</v>
      </c>
      <c r="AH108" s="74">
        <v>2049</v>
      </c>
      <c r="AI108" s="74">
        <v>2050</v>
      </c>
      <c r="AJ108" s="74" t="s">
        <v>1028</v>
      </c>
    </row>
    <row r="109" spans="1:36" x14ac:dyDescent="0.35">
      <c r="A109" s="74" t="s">
        <v>471</v>
      </c>
      <c r="C109" s="74" t="s">
        <v>1027</v>
      </c>
    </row>
    <row r="110" spans="1:36" x14ac:dyDescent="0.35">
      <c r="A110" s="74" t="s">
        <v>889</v>
      </c>
      <c r="C110" s="74" t="s">
        <v>1026</v>
      </c>
    </row>
    <row r="111" spans="1:36" x14ac:dyDescent="0.35">
      <c r="A111" s="74" t="s">
        <v>1025</v>
      </c>
      <c r="B111" s="74" t="s">
        <v>1024</v>
      </c>
      <c r="C111" s="74" t="s">
        <v>1023</v>
      </c>
      <c r="D111" s="74" t="s">
        <v>979</v>
      </c>
      <c r="F111" s="74">
        <v>0.41770499999999999</v>
      </c>
      <c r="G111" s="74">
        <v>0.398615</v>
      </c>
      <c r="H111" s="74">
        <v>0.37719200000000003</v>
      </c>
      <c r="I111" s="74">
        <v>0.39191999999999999</v>
      </c>
      <c r="J111" s="74">
        <v>0.39659899999999998</v>
      </c>
      <c r="K111" s="74">
        <v>0.406501</v>
      </c>
      <c r="L111" s="74">
        <v>0.409937</v>
      </c>
      <c r="M111" s="74">
        <v>0.412352</v>
      </c>
      <c r="N111" s="74">
        <v>0.41511199999999998</v>
      </c>
      <c r="O111" s="74">
        <v>0.42096800000000001</v>
      </c>
      <c r="P111" s="74">
        <v>0.43135299999999999</v>
      </c>
      <c r="Q111" s="74">
        <v>0.42358499999999999</v>
      </c>
      <c r="R111" s="74">
        <v>0.42548900000000001</v>
      </c>
      <c r="S111" s="74">
        <v>0.42639700000000003</v>
      </c>
      <c r="T111" s="74">
        <v>0.42692000000000002</v>
      </c>
      <c r="U111" s="74">
        <v>0.42947600000000002</v>
      </c>
      <c r="V111" s="74">
        <v>0.43081399999999997</v>
      </c>
      <c r="W111" s="74">
        <v>0.43334299999999998</v>
      </c>
      <c r="X111" s="74">
        <v>0.43132399999999999</v>
      </c>
      <c r="Y111" s="74">
        <v>0.434948</v>
      </c>
      <c r="Z111" s="74">
        <v>0.43523099999999998</v>
      </c>
      <c r="AA111" s="74">
        <v>0.43512699999999999</v>
      </c>
      <c r="AB111" s="74">
        <v>0.438467</v>
      </c>
      <c r="AC111" s="74">
        <v>0.43934200000000001</v>
      </c>
      <c r="AD111" s="74">
        <v>0.43863200000000002</v>
      </c>
      <c r="AE111" s="74">
        <v>0.44072</v>
      </c>
      <c r="AF111" s="74">
        <v>0.43959500000000001</v>
      </c>
      <c r="AG111" s="74">
        <v>0.439411</v>
      </c>
      <c r="AH111" s="74">
        <v>0.44076399999999999</v>
      </c>
      <c r="AI111" s="74">
        <v>0.44154599999999999</v>
      </c>
      <c r="AJ111" s="160">
        <v>2E-3</v>
      </c>
    </row>
    <row r="112" spans="1:36" x14ac:dyDescent="0.35">
      <c r="A112" s="74" t="s">
        <v>1022</v>
      </c>
      <c r="B112" s="74" t="s">
        <v>1021</v>
      </c>
      <c r="C112" s="74" t="s">
        <v>1020</v>
      </c>
      <c r="D112" s="74" t="s">
        <v>979</v>
      </c>
      <c r="F112" s="74">
        <v>5.8882459999999996</v>
      </c>
      <c r="G112" s="74">
        <v>5.5480559999999999</v>
      </c>
      <c r="H112" s="74">
        <v>5.1494590000000002</v>
      </c>
      <c r="I112" s="74">
        <v>5.1938170000000001</v>
      </c>
      <c r="J112" s="74">
        <v>5.1890999999999998</v>
      </c>
      <c r="K112" s="74">
        <v>5.2238829999999998</v>
      </c>
      <c r="L112" s="74">
        <v>5.1839000000000004</v>
      </c>
      <c r="M112" s="74">
        <v>5.1819499999999996</v>
      </c>
      <c r="N112" s="74">
        <v>5.166944</v>
      </c>
      <c r="O112" s="74">
        <v>5.1957120000000003</v>
      </c>
      <c r="P112" s="74">
        <v>5.2074559999999996</v>
      </c>
      <c r="Q112" s="74">
        <v>5.1378209999999997</v>
      </c>
      <c r="R112" s="74">
        <v>5.1158770000000002</v>
      </c>
      <c r="S112" s="74">
        <v>5.1055789999999996</v>
      </c>
      <c r="T112" s="74">
        <v>5.0822640000000003</v>
      </c>
      <c r="U112" s="74">
        <v>5.0846309999999999</v>
      </c>
      <c r="V112" s="74">
        <v>5.0771769999999998</v>
      </c>
      <c r="W112" s="74">
        <v>5.0797569999999999</v>
      </c>
      <c r="X112" s="74">
        <v>5.0369489999999999</v>
      </c>
      <c r="Y112" s="74">
        <v>5.0540180000000001</v>
      </c>
      <c r="Z112" s="74">
        <v>5.0391579999999996</v>
      </c>
      <c r="AA112" s="74">
        <v>5.0192819999999996</v>
      </c>
      <c r="AB112" s="74">
        <v>5.0372070000000004</v>
      </c>
      <c r="AC112" s="74">
        <v>5.0304140000000004</v>
      </c>
      <c r="AD112" s="74">
        <v>5.0050660000000002</v>
      </c>
      <c r="AE112" s="74">
        <v>5.0120800000000001</v>
      </c>
      <c r="AF112" s="74">
        <v>4.9860850000000001</v>
      </c>
      <c r="AG112" s="74">
        <v>4.9690560000000001</v>
      </c>
      <c r="AH112" s="74">
        <v>4.9678440000000004</v>
      </c>
      <c r="AI112" s="74">
        <v>4.961347</v>
      </c>
      <c r="AJ112" s="160">
        <v>-6.0000000000000001E-3</v>
      </c>
    </row>
    <row r="113" spans="1:36" x14ac:dyDescent="0.35">
      <c r="A113" s="74" t="s">
        <v>973</v>
      </c>
      <c r="B113" s="74" t="s">
        <v>1019</v>
      </c>
      <c r="C113" s="74" t="s">
        <v>1018</v>
      </c>
      <c r="D113" s="74" t="s">
        <v>979</v>
      </c>
      <c r="F113" s="74">
        <v>13.854302000000001</v>
      </c>
      <c r="G113" s="74">
        <v>13.135145</v>
      </c>
      <c r="H113" s="74">
        <v>12.563345</v>
      </c>
      <c r="I113" s="74">
        <v>12.663119999999999</v>
      </c>
      <c r="J113" s="74">
        <v>12.570371</v>
      </c>
      <c r="K113" s="74">
        <v>12.637104000000001</v>
      </c>
      <c r="L113" s="74">
        <v>12.600413</v>
      </c>
      <c r="M113" s="74">
        <v>12.547079999999999</v>
      </c>
      <c r="N113" s="74">
        <v>12.518165</v>
      </c>
      <c r="O113" s="74">
        <v>12.550877</v>
      </c>
      <c r="P113" s="74">
        <v>12.609063000000001</v>
      </c>
      <c r="Q113" s="74">
        <v>12.454338</v>
      </c>
      <c r="R113" s="74">
        <v>12.423980999999999</v>
      </c>
      <c r="S113" s="74">
        <v>12.395379</v>
      </c>
      <c r="T113" s="74">
        <v>12.354583</v>
      </c>
      <c r="U113" s="74">
        <v>12.35347</v>
      </c>
      <c r="V113" s="74">
        <v>12.335309000000001</v>
      </c>
      <c r="W113" s="74">
        <v>12.337669</v>
      </c>
      <c r="X113" s="74">
        <v>12.267787999999999</v>
      </c>
      <c r="Y113" s="74">
        <v>12.290995000000001</v>
      </c>
      <c r="Z113" s="74">
        <v>12.261386999999999</v>
      </c>
      <c r="AA113" s="74">
        <v>12.229589000000001</v>
      </c>
      <c r="AB113" s="74">
        <v>12.252957</v>
      </c>
      <c r="AC113" s="74">
        <v>12.240337999999999</v>
      </c>
      <c r="AD113" s="74">
        <v>12.202362000000001</v>
      </c>
      <c r="AE113" s="74">
        <v>12.211658</v>
      </c>
      <c r="AF113" s="74">
        <v>12.167526000000001</v>
      </c>
      <c r="AG113" s="74">
        <v>12.141715</v>
      </c>
      <c r="AH113" s="74">
        <v>12.140015</v>
      </c>
      <c r="AI113" s="74">
        <v>12.131266999999999</v>
      </c>
      <c r="AJ113" s="160">
        <v>-5.0000000000000001E-3</v>
      </c>
    </row>
    <row r="114" spans="1:36" x14ac:dyDescent="0.35">
      <c r="A114" s="74" t="s">
        <v>1017</v>
      </c>
      <c r="B114" s="74" t="s">
        <v>1016</v>
      </c>
      <c r="C114" s="74" t="s">
        <v>1015</v>
      </c>
      <c r="D114" s="74" t="s">
        <v>979</v>
      </c>
      <c r="F114" s="74">
        <v>32.587257000000001</v>
      </c>
      <c r="G114" s="74">
        <v>33.658016000000003</v>
      </c>
      <c r="H114" s="74">
        <v>34.457050000000002</v>
      </c>
      <c r="I114" s="74">
        <v>33.884341999999997</v>
      </c>
      <c r="J114" s="74">
        <v>33.570003999999997</v>
      </c>
      <c r="K114" s="74">
        <v>33.208466000000001</v>
      </c>
      <c r="L114" s="74">
        <v>33.030571000000002</v>
      </c>
      <c r="M114" s="74">
        <v>32.903247999999998</v>
      </c>
      <c r="N114" s="74">
        <v>32.770363000000003</v>
      </c>
      <c r="O114" s="74">
        <v>32.474620999999999</v>
      </c>
      <c r="P114" s="74">
        <v>32.222861999999999</v>
      </c>
      <c r="Q114" s="74">
        <v>32.436473999999997</v>
      </c>
      <c r="R114" s="74">
        <v>32.384265999999997</v>
      </c>
      <c r="S114" s="74">
        <v>32.303092999999997</v>
      </c>
      <c r="T114" s="74">
        <v>32.283951000000002</v>
      </c>
      <c r="U114" s="74">
        <v>32.161259000000001</v>
      </c>
      <c r="V114" s="74">
        <v>32.090980999999999</v>
      </c>
      <c r="W114" s="74">
        <v>31.973019000000001</v>
      </c>
      <c r="X114" s="74">
        <v>32.057944999999997</v>
      </c>
      <c r="Y114" s="74">
        <v>31.887606000000002</v>
      </c>
      <c r="Z114" s="74">
        <v>31.871335999999999</v>
      </c>
      <c r="AA114" s="74">
        <v>31.870633999999999</v>
      </c>
      <c r="AB114" s="74">
        <v>31.713187999999999</v>
      </c>
      <c r="AC114" s="74">
        <v>31.664657999999999</v>
      </c>
      <c r="AD114" s="74">
        <v>31.691870000000002</v>
      </c>
      <c r="AE114" s="74">
        <v>31.586748</v>
      </c>
      <c r="AF114" s="74">
        <v>31.631466</v>
      </c>
      <c r="AG114" s="74">
        <v>31.637969999999999</v>
      </c>
      <c r="AH114" s="74">
        <v>31.57011</v>
      </c>
      <c r="AI114" s="74">
        <v>31.518370000000001</v>
      </c>
      <c r="AJ114" s="160">
        <v>-1E-3</v>
      </c>
    </row>
    <row r="115" spans="1:36" x14ac:dyDescent="0.35">
      <c r="A115" s="74" t="s">
        <v>1014</v>
      </c>
      <c r="B115" s="74" t="s">
        <v>1013</v>
      </c>
      <c r="C115" s="74" t="s">
        <v>1012</v>
      </c>
      <c r="D115" s="74" t="s">
        <v>979</v>
      </c>
      <c r="F115" s="74">
        <v>9.8792109999999997</v>
      </c>
      <c r="G115" s="74">
        <v>10.362781999999999</v>
      </c>
      <c r="H115" s="74">
        <v>11.032590000000001</v>
      </c>
      <c r="I115" s="74">
        <v>10.616495</v>
      </c>
      <c r="J115" s="74">
        <v>10.491839000000001</v>
      </c>
      <c r="K115" s="74">
        <v>10.185684</v>
      </c>
      <c r="L115" s="74">
        <v>10.057724</v>
      </c>
      <c r="M115" s="74">
        <v>9.9920960000000001</v>
      </c>
      <c r="N115" s="74">
        <v>9.8994129999999991</v>
      </c>
      <c r="O115" s="74">
        <v>9.7294160000000005</v>
      </c>
      <c r="P115" s="74">
        <v>9.5839999999999996</v>
      </c>
      <c r="Q115" s="74">
        <v>9.6744310000000002</v>
      </c>
      <c r="R115" s="74">
        <v>9.6364149999999995</v>
      </c>
      <c r="S115" s="74">
        <v>9.5876420000000007</v>
      </c>
      <c r="T115" s="74">
        <v>9.569445</v>
      </c>
      <c r="U115" s="74">
        <v>9.4964630000000003</v>
      </c>
      <c r="V115" s="74">
        <v>9.4542219999999997</v>
      </c>
      <c r="W115" s="74">
        <v>9.3836259999999996</v>
      </c>
      <c r="X115" s="74">
        <v>9.4233790000000006</v>
      </c>
      <c r="Y115" s="74">
        <v>9.3285800000000005</v>
      </c>
      <c r="Z115" s="74">
        <v>9.3121460000000003</v>
      </c>
      <c r="AA115" s="74">
        <v>9.308135</v>
      </c>
      <c r="AB115" s="74">
        <v>9.2212370000000004</v>
      </c>
      <c r="AC115" s="74">
        <v>9.1915999999999993</v>
      </c>
      <c r="AD115" s="74">
        <v>9.2035370000000007</v>
      </c>
      <c r="AE115" s="74">
        <v>9.1456540000000004</v>
      </c>
      <c r="AF115" s="74">
        <v>9.1666950000000007</v>
      </c>
      <c r="AG115" s="74">
        <v>9.1649619999999992</v>
      </c>
      <c r="AH115" s="74">
        <v>9.1299609999999998</v>
      </c>
      <c r="AI115" s="74">
        <v>9.1095260000000007</v>
      </c>
      <c r="AJ115" s="160">
        <v>-3.0000000000000001E-3</v>
      </c>
    </row>
    <row r="116" spans="1:36" x14ac:dyDescent="0.35">
      <c r="A116" s="74" t="s">
        <v>1011</v>
      </c>
      <c r="B116" s="74" t="s">
        <v>1010</v>
      </c>
      <c r="C116" s="74" t="s">
        <v>1009</v>
      </c>
      <c r="D116" s="74" t="s">
        <v>979</v>
      </c>
      <c r="F116" s="74">
        <v>1.0373680000000001</v>
      </c>
      <c r="G116" s="74">
        <v>1.0268889999999999</v>
      </c>
      <c r="H116" s="74">
        <v>1.0509869999999999</v>
      </c>
      <c r="I116" s="74">
        <v>1.0497339999999999</v>
      </c>
      <c r="J116" s="74">
        <v>1.05281</v>
      </c>
      <c r="K116" s="74">
        <v>1.046244</v>
      </c>
      <c r="L116" s="74">
        <v>1.037628</v>
      </c>
      <c r="M116" s="74">
        <v>1.035501</v>
      </c>
      <c r="N116" s="74">
        <v>1.033952</v>
      </c>
      <c r="O116" s="74">
        <v>1.030661</v>
      </c>
      <c r="P116" s="74">
        <v>1.027998</v>
      </c>
      <c r="Q116" s="74">
        <v>1.0284009999999999</v>
      </c>
      <c r="R116" s="74">
        <v>1.0273239999999999</v>
      </c>
      <c r="S116" s="74">
        <v>1.0254179999999999</v>
      </c>
      <c r="T116" s="74">
        <v>1.0243070000000001</v>
      </c>
      <c r="U116" s="74">
        <v>1.022421</v>
      </c>
      <c r="V116" s="74">
        <v>1.020939</v>
      </c>
      <c r="W116" s="74">
        <v>1.018853</v>
      </c>
      <c r="X116" s="74">
        <v>1.0187459999999999</v>
      </c>
      <c r="Y116" s="74">
        <v>1.016562</v>
      </c>
      <c r="Z116" s="74">
        <v>1.015315</v>
      </c>
      <c r="AA116" s="74">
        <v>1.014691</v>
      </c>
      <c r="AB116" s="74">
        <v>1.0125630000000001</v>
      </c>
      <c r="AC116" s="74">
        <v>1.01136</v>
      </c>
      <c r="AD116" s="74">
        <v>1.011064</v>
      </c>
      <c r="AE116" s="74">
        <v>1.009485</v>
      </c>
      <c r="AF116" s="74">
        <v>1.0091129999999999</v>
      </c>
      <c r="AG116" s="74">
        <v>1.0085379999999999</v>
      </c>
      <c r="AH116" s="74">
        <v>1.0075829999999999</v>
      </c>
      <c r="AI116" s="74">
        <v>1.006397</v>
      </c>
      <c r="AJ116" s="160">
        <v>-1E-3</v>
      </c>
    </row>
    <row r="117" spans="1:36" x14ac:dyDescent="0.35">
      <c r="A117" s="74" t="s">
        <v>985</v>
      </c>
      <c r="B117" s="74" t="s">
        <v>1008</v>
      </c>
      <c r="C117" s="74" t="s">
        <v>1007</v>
      </c>
      <c r="D117" s="74" t="s">
        <v>979</v>
      </c>
      <c r="F117" s="74">
        <v>30.910399999999999</v>
      </c>
      <c r="G117" s="74">
        <v>29.986418</v>
      </c>
      <c r="H117" s="74">
        <v>29.127894999999999</v>
      </c>
      <c r="I117" s="74">
        <v>29.911465</v>
      </c>
      <c r="J117" s="74">
        <v>30.309767000000001</v>
      </c>
      <c r="K117" s="74">
        <v>30.844805000000001</v>
      </c>
      <c r="L117" s="74">
        <v>31.125250000000001</v>
      </c>
      <c r="M117" s="74">
        <v>31.300861000000001</v>
      </c>
      <c r="N117" s="74">
        <v>31.505972</v>
      </c>
      <c r="O117" s="74">
        <v>31.883032</v>
      </c>
      <c r="P117" s="74">
        <v>32.177891000000002</v>
      </c>
      <c r="Q117" s="74">
        <v>32.002968000000003</v>
      </c>
      <c r="R117" s="74">
        <v>32.093533000000001</v>
      </c>
      <c r="S117" s="74">
        <v>32.215454000000001</v>
      </c>
      <c r="T117" s="74">
        <v>32.267242000000003</v>
      </c>
      <c r="U117" s="74">
        <v>32.433799999999998</v>
      </c>
      <c r="V117" s="74">
        <v>32.538200000000003</v>
      </c>
      <c r="W117" s="74">
        <v>32.697746000000002</v>
      </c>
      <c r="X117" s="74">
        <v>32.628475000000002</v>
      </c>
      <c r="Y117" s="74">
        <v>32.843772999999999</v>
      </c>
      <c r="Z117" s="74">
        <v>32.886172999999999</v>
      </c>
      <c r="AA117" s="74">
        <v>32.904541000000002</v>
      </c>
      <c r="AB117" s="74">
        <v>33.099632</v>
      </c>
      <c r="AC117" s="74">
        <v>33.172932000000003</v>
      </c>
      <c r="AD117" s="74">
        <v>33.159542000000002</v>
      </c>
      <c r="AE117" s="74">
        <v>33.294353000000001</v>
      </c>
      <c r="AF117" s="74">
        <v>33.260387000000001</v>
      </c>
      <c r="AG117" s="74">
        <v>33.268715</v>
      </c>
      <c r="AH117" s="74">
        <v>33.357571</v>
      </c>
      <c r="AI117" s="74">
        <v>33.419139999999999</v>
      </c>
      <c r="AJ117" s="160">
        <v>3.0000000000000001E-3</v>
      </c>
    </row>
    <row r="118" spans="1:36" x14ac:dyDescent="0.35">
      <c r="A118" s="74" t="s">
        <v>982</v>
      </c>
      <c r="B118" s="74" t="s">
        <v>1006</v>
      </c>
      <c r="C118" s="74" t="s">
        <v>1005</v>
      </c>
      <c r="D118" s="74" t="s">
        <v>979</v>
      </c>
      <c r="F118" s="74">
        <v>5.4255110000000002</v>
      </c>
      <c r="G118" s="74">
        <v>5.8840709999999996</v>
      </c>
      <c r="H118" s="74">
        <v>6.2414670000000001</v>
      </c>
      <c r="I118" s="74">
        <v>6.2891190000000003</v>
      </c>
      <c r="J118" s="74">
        <v>6.4195019999999996</v>
      </c>
      <c r="K118" s="74">
        <v>6.4472940000000003</v>
      </c>
      <c r="L118" s="74">
        <v>6.5545660000000003</v>
      </c>
      <c r="M118" s="74">
        <v>6.6269150000000003</v>
      </c>
      <c r="N118" s="74">
        <v>6.6900690000000003</v>
      </c>
      <c r="O118" s="74">
        <v>6.7147220000000001</v>
      </c>
      <c r="P118" s="74">
        <v>6.7393660000000004</v>
      </c>
      <c r="Q118" s="74">
        <v>6.8419980000000002</v>
      </c>
      <c r="R118" s="74">
        <v>6.893097</v>
      </c>
      <c r="S118" s="74">
        <v>6.9410429999999996</v>
      </c>
      <c r="T118" s="74">
        <v>6.9912799999999997</v>
      </c>
      <c r="U118" s="74">
        <v>7.018465</v>
      </c>
      <c r="V118" s="74">
        <v>7.052359</v>
      </c>
      <c r="W118" s="74">
        <v>7.075996</v>
      </c>
      <c r="X118" s="74">
        <v>7.1353900000000001</v>
      </c>
      <c r="Y118" s="74">
        <v>7.1435120000000003</v>
      </c>
      <c r="Z118" s="74">
        <v>7.1792220000000002</v>
      </c>
      <c r="AA118" s="74">
        <v>7.2179739999999999</v>
      </c>
      <c r="AB118" s="74">
        <v>7.2247510000000004</v>
      </c>
      <c r="AC118" s="74">
        <v>7.2493780000000001</v>
      </c>
      <c r="AD118" s="74">
        <v>7.2878889999999998</v>
      </c>
      <c r="AE118" s="74">
        <v>7.2993069999999998</v>
      </c>
      <c r="AF118" s="74">
        <v>7.3391390000000003</v>
      </c>
      <c r="AG118" s="74">
        <v>7.3696270000000004</v>
      </c>
      <c r="AH118" s="74">
        <v>7.3861759999999999</v>
      </c>
      <c r="AI118" s="74">
        <v>7.412388</v>
      </c>
      <c r="AJ118" s="160">
        <v>1.0999999999999999E-2</v>
      </c>
    </row>
    <row r="119" spans="1:36" x14ac:dyDescent="0.35">
      <c r="A119" s="74" t="s">
        <v>897</v>
      </c>
      <c r="C119" s="74" t="s">
        <v>1004</v>
      </c>
    </row>
    <row r="120" spans="1:36" x14ac:dyDescent="0.35">
      <c r="A120" s="74" t="s">
        <v>1003</v>
      </c>
      <c r="B120" s="74" t="s">
        <v>1002</v>
      </c>
      <c r="C120" s="74" t="s">
        <v>1001</v>
      </c>
      <c r="D120" s="74" t="s">
        <v>979</v>
      </c>
      <c r="F120" s="74">
        <v>3.6151770000000001</v>
      </c>
      <c r="G120" s="74">
        <v>3.7816610000000002</v>
      </c>
      <c r="H120" s="74">
        <v>3.9302950000000001</v>
      </c>
      <c r="I120" s="74">
        <v>3.8616760000000001</v>
      </c>
      <c r="J120" s="74">
        <v>3.8445900000000002</v>
      </c>
      <c r="K120" s="74">
        <v>3.79176</v>
      </c>
      <c r="L120" s="74">
        <v>3.7771430000000001</v>
      </c>
      <c r="M120" s="74">
        <v>3.7678880000000001</v>
      </c>
      <c r="N120" s="74">
        <v>3.7568670000000002</v>
      </c>
      <c r="O120" s="74">
        <v>3.7233260000000001</v>
      </c>
      <c r="P120" s="74">
        <v>3.709352</v>
      </c>
      <c r="Q120" s="74">
        <v>3.7277309999999999</v>
      </c>
      <c r="R120" s="74">
        <v>3.7345190000000001</v>
      </c>
      <c r="S120" s="74">
        <v>3.7281689999999998</v>
      </c>
      <c r="T120" s="74">
        <v>3.7297959999999999</v>
      </c>
      <c r="U120" s="74">
        <v>3.7166600000000001</v>
      </c>
      <c r="V120" s="74">
        <v>3.709835</v>
      </c>
      <c r="W120" s="74">
        <v>3.6964730000000001</v>
      </c>
      <c r="X120" s="74">
        <v>3.7107610000000002</v>
      </c>
      <c r="Y120" s="74">
        <v>3.6917249999999999</v>
      </c>
      <c r="Z120" s="74">
        <v>3.6921539999999999</v>
      </c>
      <c r="AA120" s="74">
        <v>3.6946829999999999</v>
      </c>
      <c r="AB120" s="74">
        <v>3.6765270000000001</v>
      </c>
      <c r="AC120" s="74">
        <v>3.6720380000000001</v>
      </c>
      <c r="AD120" s="74">
        <v>3.6784970000000001</v>
      </c>
      <c r="AE120" s="74">
        <v>3.6666210000000001</v>
      </c>
      <c r="AF120" s="74">
        <v>3.674652</v>
      </c>
      <c r="AG120" s="74">
        <v>3.6779459999999999</v>
      </c>
      <c r="AH120" s="74">
        <v>3.6717149999999998</v>
      </c>
      <c r="AI120" s="74">
        <v>3.6686070000000002</v>
      </c>
      <c r="AJ120" s="160">
        <v>1E-3</v>
      </c>
    </row>
    <row r="121" spans="1:36" x14ac:dyDescent="0.35">
      <c r="A121" s="74" t="s">
        <v>1000</v>
      </c>
      <c r="B121" s="74" t="s">
        <v>999</v>
      </c>
      <c r="C121" s="74" t="s">
        <v>998</v>
      </c>
      <c r="D121" s="74" t="s">
        <v>979</v>
      </c>
      <c r="F121" s="74">
        <v>23.738779000000001</v>
      </c>
      <c r="G121" s="74">
        <v>24.121656000000002</v>
      </c>
      <c r="H121" s="74">
        <v>23.963570000000001</v>
      </c>
      <c r="I121" s="74">
        <v>24.144428000000001</v>
      </c>
      <c r="J121" s="74">
        <v>24.260287999999999</v>
      </c>
      <c r="K121" s="74">
        <v>24.398862999999999</v>
      </c>
      <c r="L121" s="74">
        <v>24.503209999999999</v>
      </c>
      <c r="M121" s="74">
        <v>24.571456999999999</v>
      </c>
      <c r="N121" s="74">
        <v>24.639256</v>
      </c>
      <c r="O121" s="74">
        <v>24.710190000000001</v>
      </c>
      <c r="P121" s="74">
        <v>24.782730000000001</v>
      </c>
      <c r="Q121" s="74">
        <v>24.824176999999999</v>
      </c>
      <c r="R121" s="74">
        <v>24.865238000000002</v>
      </c>
      <c r="S121" s="74">
        <v>24.912882</v>
      </c>
      <c r="T121" s="74">
        <v>24.958887000000001</v>
      </c>
      <c r="U121" s="74">
        <v>24.998577000000001</v>
      </c>
      <c r="V121" s="74">
        <v>25.038305000000001</v>
      </c>
      <c r="W121" s="74">
        <v>25.080894000000001</v>
      </c>
      <c r="X121" s="74">
        <v>25.098973999999998</v>
      </c>
      <c r="Y121" s="74">
        <v>25.139412</v>
      </c>
      <c r="Z121" s="74">
        <v>25.170444</v>
      </c>
      <c r="AA121" s="74">
        <v>25.189968</v>
      </c>
      <c r="AB121" s="74">
        <v>25.229020999999999</v>
      </c>
      <c r="AC121" s="74">
        <v>25.253623999999999</v>
      </c>
      <c r="AD121" s="74">
        <v>25.267085999999999</v>
      </c>
      <c r="AE121" s="74">
        <v>25.295853000000001</v>
      </c>
      <c r="AF121" s="74">
        <v>25.316020999999999</v>
      </c>
      <c r="AG121" s="74">
        <v>25.326511</v>
      </c>
      <c r="AH121" s="74">
        <v>25.345814000000001</v>
      </c>
      <c r="AI121" s="74">
        <v>25.364789999999999</v>
      </c>
      <c r="AJ121" s="160">
        <v>2E-3</v>
      </c>
    </row>
    <row r="122" spans="1:36" x14ac:dyDescent="0.35">
      <c r="A122" s="74" t="s">
        <v>997</v>
      </c>
      <c r="B122" s="74" t="s">
        <v>996</v>
      </c>
      <c r="C122" s="74" t="s">
        <v>995</v>
      </c>
      <c r="D122" s="74" t="s">
        <v>979</v>
      </c>
      <c r="F122" s="74">
        <v>1.393669</v>
      </c>
      <c r="G122" s="74">
        <v>1.368665</v>
      </c>
      <c r="H122" s="74">
        <v>1.300807</v>
      </c>
      <c r="I122" s="74">
        <v>1.31453</v>
      </c>
      <c r="J122" s="74">
        <v>1.3107660000000001</v>
      </c>
      <c r="K122" s="74">
        <v>1.3339840000000001</v>
      </c>
      <c r="L122" s="74">
        <v>1.337364</v>
      </c>
      <c r="M122" s="74">
        <v>1.336795</v>
      </c>
      <c r="N122" s="74">
        <v>1.339161</v>
      </c>
      <c r="O122" s="74">
        <v>1.349769</v>
      </c>
      <c r="P122" s="74">
        <v>1.352994</v>
      </c>
      <c r="Q122" s="74">
        <v>1.3453850000000001</v>
      </c>
      <c r="R122" s="74">
        <v>1.341377</v>
      </c>
      <c r="S122" s="74">
        <v>1.349043</v>
      </c>
      <c r="T122" s="74">
        <v>1.3473010000000001</v>
      </c>
      <c r="U122" s="74">
        <v>1.3503780000000001</v>
      </c>
      <c r="V122" s="74">
        <v>1.3509100000000001</v>
      </c>
      <c r="W122" s="74">
        <v>1.3535980000000001</v>
      </c>
      <c r="X122" s="74">
        <v>1.347078</v>
      </c>
      <c r="Y122" s="74">
        <v>1.3524890000000001</v>
      </c>
      <c r="Z122" s="74">
        <v>1.3509800000000001</v>
      </c>
      <c r="AA122" s="74">
        <v>1.3487439999999999</v>
      </c>
      <c r="AB122" s="74">
        <v>1.354006</v>
      </c>
      <c r="AC122" s="74">
        <v>1.3544350000000001</v>
      </c>
      <c r="AD122" s="74">
        <v>1.351094</v>
      </c>
      <c r="AE122" s="74">
        <v>1.3543419999999999</v>
      </c>
      <c r="AF122" s="74">
        <v>1.3505849999999999</v>
      </c>
      <c r="AG122" s="74">
        <v>1.3486020000000001</v>
      </c>
      <c r="AH122" s="74">
        <v>1.350128</v>
      </c>
      <c r="AI122" s="74">
        <v>1.3510089999999999</v>
      </c>
      <c r="AJ122" s="160">
        <v>-1E-3</v>
      </c>
    </row>
    <row r="123" spans="1:36" x14ac:dyDescent="0.35">
      <c r="A123" s="74" t="s">
        <v>994</v>
      </c>
      <c r="B123" s="74" t="s">
        <v>993</v>
      </c>
      <c r="C123" s="74" t="s">
        <v>992</v>
      </c>
      <c r="D123" s="74" t="s">
        <v>979</v>
      </c>
      <c r="F123" s="74">
        <v>6.8293860000000004</v>
      </c>
      <c r="G123" s="74">
        <v>6.7780319999999996</v>
      </c>
      <c r="H123" s="74">
        <v>6.6319850000000002</v>
      </c>
      <c r="I123" s="74">
        <v>6.5780310000000002</v>
      </c>
      <c r="J123" s="74">
        <v>6.5388029999999997</v>
      </c>
      <c r="K123" s="74">
        <v>6.4999130000000003</v>
      </c>
      <c r="L123" s="74">
        <v>6.4652430000000001</v>
      </c>
      <c r="M123" s="74">
        <v>6.4330699999999998</v>
      </c>
      <c r="N123" s="74">
        <v>6.4045649999999998</v>
      </c>
      <c r="O123" s="74">
        <v>6.3816269999999999</v>
      </c>
      <c r="P123" s="74">
        <v>6.3633420000000003</v>
      </c>
      <c r="Q123" s="74">
        <v>6.340579</v>
      </c>
      <c r="R123" s="74">
        <v>6.3281270000000003</v>
      </c>
      <c r="S123" s="74">
        <v>6.3291909999999998</v>
      </c>
      <c r="T123" s="74">
        <v>6.3165440000000004</v>
      </c>
      <c r="U123" s="74">
        <v>6.2973790000000003</v>
      </c>
      <c r="V123" s="74">
        <v>6.280176</v>
      </c>
      <c r="W123" s="74">
        <v>6.270543</v>
      </c>
      <c r="X123" s="74">
        <v>6.2566079999999999</v>
      </c>
      <c r="Y123" s="74">
        <v>6.2468560000000002</v>
      </c>
      <c r="Z123" s="74">
        <v>6.2359270000000002</v>
      </c>
      <c r="AA123" s="74">
        <v>6.2255779999999996</v>
      </c>
      <c r="AB123" s="74">
        <v>6.2176410000000004</v>
      </c>
      <c r="AC123" s="74">
        <v>6.2093319999999999</v>
      </c>
      <c r="AD123" s="74">
        <v>6.2002550000000003</v>
      </c>
      <c r="AE123" s="74">
        <v>6.1932799999999997</v>
      </c>
      <c r="AF123" s="74">
        <v>6.1845330000000001</v>
      </c>
      <c r="AG123" s="74">
        <v>6.1776479999999996</v>
      </c>
      <c r="AH123" s="74">
        <v>6.1706599999999998</v>
      </c>
      <c r="AI123" s="74">
        <v>6.1657080000000004</v>
      </c>
      <c r="AJ123" s="160">
        <v>-4.0000000000000001E-3</v>
      </c>
    </row>
    <row r="124" spans="1:36" x14ac:dyDescent="0.35">
      <c r="A124" s="74" t="s">
        <v>991</v>
      </c>
      <c r="B124" s="74" t="s">
        <v>990</v>
      </c>
      <c r="C124" s="74" t="s">
        <v>989</v>
      </c>
      <c r="D124" s="74" t="s">
        <v>979</v>
      </c>
      <c r="F124" s="74">
        <v>2.7991000000000001</v>
      </c>
      <c r="G124" s="74">
        <v>2.7235969999999998</v>
      </c>
      <c r="H124" s="74">
        <v>2.7393550000000002</v>
      </c>
      <c r="I124" s="74">
        <v>2.6908029999999998</v>
      </c>
      <c r="J124" s="74">
        <v>2.6610619999999998</v>
      </c>
      <c r="K124" s="74">
        <v>2.624959</v>
      </c>
      <c r="L124" s="74">
        <v>2.5991689999999998</v>
      </c>
      <c r="M124" s="74">
        <v>2.580076</v>
      </c>
      <c r="N124" s="74">
        <v>2.5621</v>
      </c>
      <c r="O124" s="74">
        <v>2.5421309999999999</v>
      </c>
      <c r="P124" s="74">
        <v>2.5271479999999999</v>
      </c>
      <c r="Q124" s="74">
        <v>2.5170219999999999</v>
      </c>
      <c r="R124" s="74">
        <v>2.5055329999999998</v>
      </c>
      <c r="S124" s="74">
        <v>2.491663</v>
      </c>
      <c r="T124" s="74">
        <v>2.4813149999999999</v>
      </c>
      <c r="U124" s="74">
        <v>2.4712730000000001</v>
      </c>
      <c r="V124" s="74">
        <v>2.462008</v>
      </c>
      <c r="W124" s="74">
        <v>2.4517630000000001</v>
      </c>
      <c r="X124" s="74">
        <v>2.446625</v>
      </c>
      <c r="Y124" s="74">
        <v>2.4363649999999999</v>
      </c>
      <c r="Z124" s="74">
        <v>2.428982</v>
      </c>
      <c r="AA124" s="74">
        <v>2.4232399999999998</v>
      </c>
      <c r="AB124" s="74">
        <v>2.4140299999999999</v>
      </c>
      <c r="AC124" s="74">
        <v>2.4074390000000001</v>
      </c>
      <c r="AD124" s="74">
        <v>2.4031389999999999</v>
      </c>
      <c r="AE124" s="74">
        <v>2.3959260000000002</v>
      </c>
      <c r="AF124" s="74">
        <v>2.3917809999999999</v>
      </c>
      <c r="AG124" s="74">
        <v>2.3873959999999999</v>
      </c>
      <c r="AH124" s="74">
        <v>2.3819379999999999</v>
      </c>
      <c r="AI124" s="74">
        <v>2.3766980000000002</v>
      </c>
      <c r="AJ124" s="160">
        <v>-6.0000000000000001E-3</v>
      </c>
    </row>
    <row r="125" spans="1:36" x14ac:dyDescent="0.35">
      <c r="A125" s="74" t="s">
        <v>988</v>
      </c>
      <c r="B125" s="74" t="s">
        <v>987</v>
      </c>
      <c r="C125" s="74" t="s">
        <v>986</v>
      </c>
      <c r="D125" s="74" t="s">
        <v>979</v>
      </c>
      <c r="F125" s="74">
        <v>5.0245430000000004</v>
      </c>
      <c r="G125" s="74">
        <v>4.8875989999999998</v>
      </c>
      <c r="H125" s="74">
        <v>4.8552109999999997</v>
      </c>
      <c r="I125" s="74">
        <v>4.8236929999999996</v>
      </c>
      <c r="J125" s="74">
        <v>4.7922190000000002</v>
      </c>
      <c r="K125" s="74">
        <v>4.7644590000000004</v>
      </c>
      <c r="L125" s="74">
        <v>4.738524</v>
      </c>
      <c r="M125" s="74">
        <v>4.718267</v>
      </c>
      <c r="N125" s="74">
        <v>4.6999089999999999</v>
      </c>
      <c r="O125" s="74">
        <v>4.686242</v>
      </c>
      <c r="P125" s="74">
        <v>4.6731249999999998</v>
      </c>
      <c r="Q125" s="74">
        <v>4.6573250000000002</v>
      </c>
      <c r="R125" s="74">
        <v>4.6438009999999998</v>
      </c>
      <c r="S125" s="74">
        <v>4.6294750000000002</v>
      </c>
      <c r="T125" s="74">
        <v>4.6172310000000003</v>
      </c>
      <c r="U125" s="74">
        <v>4.6085820000000002</v>
      </c>
      <c r="V125" s="74">
        <v>4.5995629999999998</v>
      </c>
      <c r="W125" s="74">
        <v>4.5913339999999998</v>
      </c>
      <c r="X125" s="74">
        <v>4.5814979999999998</v>
      </c>
      <c r="Y125" s="74">
        <v>4.5750390000000003</v>
      </c>
      <c r="Z125" s="74">
        <v>4.5667169999999997</v>
      </c>
      <c r="AA125" s="74">
        <v>4.5598190000000001</v>
      </c>
      <c r="AB125" s="74">
        <v>4.5542730000000002</v>
      </c>
      <c r="AC125" s="74">
        <v>4.5482829999999996</v>
      </c>
      <c r="AD125" s="74">
        <v>4.5421870000000002</v>
      </c>
      <c r="AE125" s="74">
        <v>4.5374850000000002</v>
      </c>
      <c r="AF125" s="74">
        <v>4.5306199999999999</v>
      </c>
      <c r="AG125" s="74">
        <v>4.5259669999999996</v>
      </c>
      <c r="AH125" s="74">
        <v>4.5222369999999996</v>
      </c>
      <c r="AI125" s="74">
        <v>4.5173889999999997</v>
      </c>
      <c r="AJ125" s="160">
        <v>-4.0000000000000001E-3</v>
      </c>
    </row>
    <row r="126" spans="1:36" x14ac:dyDescent="0.35">
      <c r="A126" s="74" t="s">
        <v>985</v>
      </c>
      <c r="B126" s="74" t="s">
        <v>984</v>
      </c>
      <c r="C126" s="74" t="s">
        <v>983</v>
      </c>
      <c r="D126" s="74" t="s">
        <v>979</v>
      </c>
      <c r="F126" s="74">
        <v>16.597456000000001</v>
      </c>
      <c r="G126" s="74">
        <v>16.622033999999999</v>
      </c>
      <c r="H126" s="74">
        <v>16.889752999999999</v>
      </c>
      <c r="I126" s="74">
        <v>16.889025</v>
      </c>
      <c r="J126" s="74">
        <v>16.916285999999999</v>
      </c>
      <c r="K126" s="74">
        <v>16.904389999999999</v>
      </c>
      <c r="L126" s="74">
        <v>16.908241</v>
      </c>
      <c r="M126" s="74">
        <v>16.924059</v>
      </c>
      <c r="N126" s="74">
        <v>16.935483999999999</v>
      </c>
      <c r="O126" s="74">
        <v>16.933529</v>
      </c>
      <c r="P126" s="74">
        <v>16.936810000000001</v>
      </c>
      <c r="Q126" s="74">
        <v>16.959751000000001</v>
      </c>
      <c r="R126" s="74">
        <v>16.967828999999998</v>
      </c>
      <c r="S126" s="74">
        <v>16.969393</v>
      </c>
      <c r="T126" s="74">
        <v>16.978493</v>
      </c>
      <c r="U126" s="74">
        <v>16.983034</v>
      </c>
      <c r="V126" s="74">
        <v>16.989270999999999</v>
      </c>
      <c r="W126" s="74">
        <v>16.989424</v>
      </c>
      <c r="X126" s="74">
        <v>17.009444999999999</v>
      </c>
      <c r="Y126" s="74">
        <v>17.005747</v>
      </c>
      <c r="Z126" s="74">
        <v>17.012217</v>
      </c>
      <c r="AA126" s="74">
        <v>17.023869999999999</v>
      </c>
      <c r="AB126" s="74">
        <v>17.018677</v>
      </c>
      <c r="AC126" s="74">
        <v>17.023921999999999</v>
      </c>
      <c r="AD126" s="74">
        <v>17.037443</v>
      </c>
      <c r="AE126" s="74">
        <v>17.037182000000001</v>
      </c>
      <c r="AF126" s="74">
        <v>17.047794</v>
      </c>
      <c r="AG126" s="74">
        <v>17.058771</v>
      </c>
      <c r="AH126" s="74">
        <v>17.062691000000001</v>
      </c>
      <c r="AI126" s="74">
        <v>17.067034</v>
      </c>
      <c r="AJ126" s="160">
        <v>1E-3</v>
      </c>
    </row>
    <row r="127" spans="1:36" x14ac:dyDescent="0.35">
      <c r="A127" s="74" t="s">
        <v>982</v>
      </c>
      <c r="B127" s="74" t="s">
        <v>981</v>
      </c>
      <c r="C127" s="74" t="s">
        <v>980</v>
      </c>
      <c r="D127" s="74" t="s">
        <v>979</v>
      </c>
      <c r="F127" s="74">
        <v>40.001862000000003</v>
      </c>
      <c r="G127" s="74">
        <v>39.716766</v>
      </c>
      <c r="H127" s="74">
        <v>39.689011000000001</v>
      </c>
      <c r="I127" s="74">
        <v>39.697842000000001</v>
      </c>
      <c r="J127" s="74">
        <v>39.675980000000003</v>
      </c>
      <c r="K127" s="74">
        <v>39.681683</v>
      </c>
      <c r="L127" s="74">
        <v>39.671092999999999</v>
      </c>
      <c r="M127" s="74">
        <v>39.668380999999997</v>
      </c>
      <c r="N127" s="74">
        <v>39.662681999999997</v>
      </c>
      <c r="O127" s="74">
        <v>39.673172000000001</v>
      </c>
      <c r="P127" s="74">
        <v>39.654522</v>
      </c>
      <c r="Q127" s="74">
        <v>39.628039999999999</v>
      </c>
      <c r="R127" s="74">
        <v>39.613574999999997</v>
      </c>
      <c r="S127" s="74">
        <v>39.590167999999998</v>
      </c>
      <c r="T127" s="74">
        <v>39.570419000000001</v>
      </c>
      <c r="U127" s="74">
        <v>39.574145999999999</v>
      </c>
      <c r="V127" s="74">
        <v>39.569958</v>
      </c>
      <c r="W127" s="74">
        <v>39.565978999999999</v>
      </c>
      <c r="X127" s="74">
        <v>39.549003999999996</v>
      </c>
      <c r="Y127" s="74">
        <v>39.552352999999997</v>
      </c>
      <c r="Z127" s="74">
        <v>39.542591000000002</v>
      </c>
      <c r="AA127" s="74">
        <v>39.534092000000001</v>
      </c>
      <c r="AB127" s="74">
        <v>39.535862000000002</v>
      </c>
      <c r="AC127" s="74">
        <v>39.530940999999999</v>
      </c>
      <c r="AD127" s="74">
        <v>39.520321000000003</v>
      </c>
      <c r="AE127" s="74">
        <v>39.519317999999998</v>
      </c>
      <c r="AF127" s="74">
        <v>39.503998000000003</v>
      </c>
      <c r="AG127" s="74">
        <v>39.497149999999998</v>
      </c>
      <c r="AH127" s="74">
        <v>39.494807999999999</v>
      </c>
      <c r="AI127" s="74">
        <v>39.488785</v>
      </c>
      <c r="AJ127" s="160">
        <v>0</v>
      </c>
    </row>
    <row r="130" spans="1:36" x14ac:dyDescent="0.35">
      <c r="A130" s="74" t="s">
        <v>1189</v>
      </c>
    </row>
    <row r="131" spans="1:36" x14ac:dyDescent="0.35">
      <c r="A131" s="74" t="s">
        <v>1188</v>
      </c>
    </row>
    <row r="132" spans="1:36" x14ac:dyDescent="0.35">
      <c r="A132" s="74" t="s">
        <v>1187</v>
      </c>
    </row>
    <row r="133" spans="1:36" x14ac:dyDescent="0.35">
      <c r="A133" s="74" t="s">
        <v>1032</v>
      </c>
    </row>
    <row r="134" spans="1:36" x14ac:dyDescent="0.35">
      <c r="B134" s="74" t="s">
        <v>1031</v>
      </c>
      <c r="C134" s="74" t="s">
        <v>1030</v>
      </c>
      <c r="D134" s="74" t="s">
        <v>1029</v>
      </c>
      <c r="E134" s="74">
        <v>2020</v>
      </c>
      <c r="F134" s="74">
        <v>2021</v>
      </c>
      <c r="G134" s="74">
        <v>2022</v>
      </c>
      <c r="H134" s="74">
        <v>2023</v>
      </c>
      <c r="I134" s="74">
        <v>2024</v>
      </c>
      <c r="J134" s="74">
        <v>2025</v>
      </c>
      <c r="K134" s="74">
        <v>2026</v>
      </c>
      <c r="L134" s="74">
        <v>2027</v>
      </c>
      <c r="M134" s="74">
        <v>2028</v>
      </c>
      <c r="N134" s="74">
        <v>2029</v>
      </c>
      <c r="O134" s="74">
        <v>2030</v>
      </c>
      <c r="P134" s="74">
        <v>2031</v>
      </c>
      <c r="Q134" s="74">
        <v>2032</v>
      </c>
      <c r="R134" s="74">
        <v>2033</v>
      </c>
      <c r="S134" s="74">
        <v>2034</v>
      </c>
      <c r="T134" s="74">
        <v>2035</v>
      </c>
      <c r="U134" s="74">
        <v>2036</v>
      </c>
      <c r="V134" s="74">
        <v>2037</v>
      </c>
      <c r="W134" s="74">
        <v>2038</v>
      </c>
      <c r="X134" s="74">
        <v>2039</v>
      </c>
      <c r="Y134" s="74">
        <v>2040</v>
      </c>
      <c r="Z134" s="74">
        <v>2041</v>
      </c>
      <c r="AA134" s="74">
        <v>2042</v>
      </c>
      <c r="AB134" s="74">
        <v>2043</v>
      </c>
      <c r="AC134" s="74">
        <v>2044</v>
      </c>
      <c r="AD134" s="74">
        <v>2045</v>
      </c>
      <c r="AE134" s="74">
        <v>2046</v>
      </c>
      <c r="AF134" s="74">
        <v>2047</v>
      </c>
      <c r="AG134" s="74">
        <v>2048</v>
      </c>
      <c r="AH134" s="74">
        <v>2049</v>
      </c>
      <c r="AI134" s="74">
        <v>2050</v>
      </c>
      <c r="AJ134" s="74" t="s">
        <v>1028</v>
      </c>
    </row>
    <row r="135" spans="1:36" x14ac:dyDescent="0.35">
      <c r="A135" s="74" t="s">
        <v>1186</v>
      </c>
      <c r="C135" s="74" t="s">
        <v>1185</v>
      </c>
    </row>
    <row r="136" spans="1:36" x14ac:dyDescent="0.35">
      <c r="A136" s="74" t="s">
        <v>1184</v>
      </c>
      <c r="C136" s="74" t="s">
        <v>1183</v>
      </c>
    </row>
    <row r="137" spans="1:36" x14ac:dyDescent="0.35">
      <c r="A137" s="74" t="s">
        <v>1135</v>
      </c>
      <c r="B137" s="74" t="s">
        <v>1182</v>
      </c>
      <c r="C137" s="74" t="s">
        <v>1181</v>
      </c>
      <c r="D137" s="74" t="s">
        <v>1038</v>
      </c>
      <c r="F137" s="74">
        <v>831.033997</v>
      </c>
      <c r="G137" s="74">
        <v>778.33044400000006</v>
      </c>
      <c r="H137" s="74">
        <v>728.03906199999994</v>
      </c>
      <c r="I137" s="74">
        <v>693.98535200000003</v>
      </c>
      <c r="J137" s="74">
        <v>666.05566399999998</v>
      </c>
      <c r="K137" s="74">
        <v>655.33727999999996</v>
      </c>
      <c r="L137" s="74">
        <v>643.78228799999999</v>
      </c>
      <c r="M137" s="74">
        <v>632.40863000000002</v>
      </c>
      <c r="N137" s="74">
        <v>624.38885500000004</v>
      </c>
      <c r="O137" s="74">
        <v>618.50787400000002</v>
      </c>
      <c r="P137" s="74">
        <v>638.274902</v>
      </c>
      <c r="Q137" s="74">
        <v>629.94390899999996</v>
      </c>
      <c r="R137" s="74">
        <v>630.12530500000003</v>
      </c>
      <c r="S137" s="74">
        <v>625.40911900000003</v>
      </c>
      <c r="T137" s="74">
        <v>618.87634300000002</v>
      </c>
      <c r="U137" s="74">
        <v>614.36804199999995</v>
      </c>
      <c r="V137" s="74">
        <v>611.56091300000003</v>
      </c>
      <c r="W137" s="74">
        <v>608.99780299999998</v>
      </c>
      <c r="X137" s="74">
        <v>605.20318599999996</v>
      </c>
      <c r="Y137" s="74">
        <v>605.27691700000003</v>
      </c>
      <c r="Z137" s="74">
        <v>600.12536599999999</v>
      </c>
      <c r="AA137" s="74">
        <v>594.21173099999999</v>
      </c>
      <c r="AB137" s="74">
        <v>590.96929899999998</v>
      </c>
      <c r="AC137" s="74">
        <v>586.67706299999998</v>
      </c>
      <c r="AD137" s="74">
        <v>584.39117399999998</v>
      </c>
      <c r="AE137" s="74">
        <v>582.11163299999998</v>
      </c>
      <c r="AF137" s="74">
        <v>575.75695800000005</v>
      </c>
      <c r="AG137" s="74">
        <v>569.19329800000003</v>
      </c>
      <c r="AH137" s="74">
        <v>564.91674799999998</v>
      </c>
      <c r="AI137" s="74">
        <v>560.78350799999998</v>
      </c>
      <c r="AJ137" s="160">
        <v>-1.2999999999999999E-2</v>
      </c>
    </row>
    <row r="138" spans="1:36" x14ac:dyDescent="0.35">
      <c r="A138" s="74" t="s">
        <v>1132</v>
      </c>
      <c r="B138" s="74" t="s">
        <v>1180</v>
      </c>
      <c r="C138" s="74" t="s">
        <v>1179</v>
      </c>
      <c r="D138" s="74" t="s">
        <v>1038</v>
      </c>
      <c r="F138" s="74">
        <v>1.5119E-2</v>
      </c>
      <c r="G138" s="74">
        <v>1.4482999999999999E-2</v>
      </c>
      <c r="H138" s="74">
        <v>1.3171E-2</v>
      </c>
      <c r="I138" s="74">
        <v>1.1778E-2</v>
      </c>
      <c r="J138" s="74">
        <v>1.1188999999999999E-2</v>
      </c>
      <c r="K138" s="74">
        <v>1.1226E-2</v>
      </c>
      <c r="L138" s="74">
        <v>1.111E-2</v>
      </c>
      <c r="M138" s="74">
        <v>1.0954999999999999E-2</v>
      </c>
      <c r="N138" s="74">
        <v>1.0864E-2</v>
      </c>
      <c r="O138" s="74">
        <v>1.1055000000000001E-2</v>
      </c>
      <c r="P138" s="74">
        <v>1.1561E-2</v>
      </c>
      <c r="Q138" s="74">
        <v>1.1868999999999999E-2</v>
      </c>
      <c r="R138" s="74">
        <v>1.1920999999999999E-2</v>
      </c>
      <c r="S138" s="74">
        <v>1.2012E-2</v>
      </c>
      <c r="T138" s="74">
        <v>1.1916E-2</v>
      </c>
      <c r="U138" s="74">
        <v>1.1897E-2</v>
      </c>
      <c r="V138" s="74">
        <v>1.1795999999999999E-2</v>
      </c>
      <c r="W138" s="74">
        <v>1.1875E-2</v>
      </c>
      <c r="X138" s="74">
        <v>1.1792E-2</v>
      </c>
      <c r="Y138" s="74">
        <v>1.1894E-2</v>
      </c>
      <c r="Z138" s="74">
        <v>1.1875E-2</v>
      </c>
      <c r="AA138" s="74">
        <v>1.1797999999999999E-2</v>
      </c>
      <c r="AB138" s="74">
        <v>1.1734E-2</v>
      </c>
      <c r="AC138" s="74">
        <v>1.1642E-2</v>
      </c>
      <c r="AD138" s="74">
        <v>1.1613999999999999E-2</v>
      </c>
      <c r="AE138" s="74">
        <v>1.1634E-2</v>
      </c>
      <c r="AF138" s="74">
        <v>1.1549E-2</v>
      </c>
      <c r="AG138" s="74">
        <v>1.1417E-2</v>
      </c>
      <c r="AH138" s="74">
        <v>1.1339E-2</v>
      </c>
      <c r="AI138" s="74">
        <v>1.1391E-2</v>
      </c>
      <c r="AJ138" s="160">
        <v>-0.01</v>
      </c>
    </row>
    <row r="139" spans="1:36" x14ac:dyDescent="0.35">
      <c r="A139" s="74" t="s">
        <v>1178</v>
      </c>
      <c r="B139" s="74" t="s">
        <v>1177</v>
      </c>
      <c r="C139" s="74" t="s">
        <v>1176</v>
      </c>
      <c r="D139" s="74" t="s">
        <v>1038</v>
      </c>
      <c r="F139" s="74">
        <v>831.04913299999998</v>
      </c>
      <c r="G139" s="74">
        <v>778.34491000000003</v>
      </c>
      <c r="H139" s="74">
        <v>728.05224599999997</v>
      </c>
      <c r="I139" s="74">
        <v>693.99713099999997</v>
      </c>
      <c r="J139" s="74">
        <v>666.06683299999997</v>
      </c>
      <c r="K139" s="74">
        <v>655.34851100000003</v>
      </c>
      <c r="L139" s="74">
        <v>643.79339600000003</v>
      </c>
      <c r="M139" s="74">
        <v>632.41955600000006</v>
      </c>
      <c r="N139" s="74">
        <v>624.399719</v>
      </c>
      <c r="O139" s="74">
        <v>618.51892099999998</v>
      </c>
      <c r="P139" s="74">
        <v>638.28643799999998</v>
      </c>
      <c r="Q139" s="74">
        <v>629.95574999999997</v>
      </c>
      <c r="R139" s="74">
        <v>630.13720699999999</v>
      </c>
      <c r="S139" s="74">
        <v>625.42114300000003</v>
      </c>
      <c r="T139" s="74">
        <v>618.88824499999998</v>
      </c>
      <c r="U139" s="74">
        <v>614.37994400000002</v>
      </c>
      <c r="V139" s="74">
        <v>611.57269299999996</v>
      </c>
      <c r="W139" s="74">
        <v>609.00970500000005</v>
      </c>
      <c r="X139" s="74">
        <v>605.214966</v>
      </c>
      <c r="Y139" s="74">
        <v>605.28881799999999</v>
      </c>
      <c r="Z139" s="74">
        <v>600.13726799999995</v>
      </c>
      <c r="AA139" s="74">
        <v>594.22351100000003</v>
      </c>
      <c r="AB139" s="74">
        <v>590.98101799999995</v>
      </c>
      <c r="AC139" s="74">
        <v>586.68872099999999</v>
      </c>
      <c r="AD139" s="74">
        <v>584.40277100000003</v>
      </c>
      <c r="AE139" s="74">
        <v>582.12329099999999</v>
      </c>
      <c r="AF139" s="74">
        <v>575.76849400000003</v>
      </c>
      <c r="AG139" s="74">
        <v>569.20471199999997</v>
      </c>
      <c r="AH139" s="74">
        <v>564.92810099999997</v>
      </c>
      <c r="AI139" s="74">
        <v>560.79492200000004</v>
      </c>
      <c r="AJ139" s="160">
        <v>-1.2999999999999999E-2</v>
      </c>
    </row>
    <row r="140" spans="1:36" x14ac:dyDescent="0.35">
      <c r="A140" s="74" t="s">
        <v>1175</v>
      </c>
      <c r="C140" s="74" t="s">
        <v>1174</v>
      </c>
    </row>
    <row r="141" spans="1:36" x14ac:dyDescent="0.35">
      <c r="A141" s="74" t="s">
        <v>1124</v>
      </c>
      <c r="B141" s="74" t="s">
        <v>1173</v>
      </c>
      <c r="C141" s="74" t="s">
        <v>1172</v>
      </c>
      <c r="D141" s="74" t="s">
        <v>1038</v>
      </c>
      <c r="F141" s="74">
        <v>9.5299110000000002</v>
      </c>
      <c r="G141" s="74">
        <v>9.0071440000000003</v>
      </c>
      <c r="H141" s="74">
        <v>8.466234</v>
      </c>
      <c r="I141" s="74">
        <v>8.0762119999999999</v>
      </c>
      <c r="J141" s="74">
        <v>7.7580710000000002</v>
      </c>
      <c r="K141" s="74">
        <v>7.634728</v>
      </c>
      <c r="L141" s="74">
        <v>7.5049440000000001</v>
      </c>
      <c r="M141" s="74">
        <v>7.3800590000000001</v>
      </c>
      <c r="N141" s="74">
        <v>7.295712</v>
      </c>
      <c r="O141" s="74">
        <v>7.2375999999999996</v>
      </c>
      <c r="P141" s="74">
        <v>7.4812450000000004</v>
      </c>
      <c r="Q141" s="74">
        <v>7.4291910000000003</v>
      </c>
      <c r="R141" s="74">
        <v>7.4456939999999996</v>
      </c>
      <c r="S141" s="74">
        <v>7.4068069999999997</v>
      </c>
      <c r="T141" s="74">
        <v>7.3433409999999997</v>
      </c>
      <c r="U141" s="74">
        <v>7.302435</v>
      </c>
      <c r="V141" s="74">
        <v>7.2797340000000004</v>
      </c>
      <c r="W141" s="74">
        <v>7.2629999999999999</v>
      </c>
      <c r="X141" s="74">
        <v>7.2328429999999999</v>
      </c>
      <c r="Y141" s="74">
        <v>7.2479610000000001</v>
      </c>
      <c r="Z141" s="74">
        <v>7.2023419999999998</v>
      </c>
      <c r="AA141" s="74">
        <v>7.1415350000000002</v>
      </c>
      <c r="AB141" s="74">
        <v>7.1153769999999996</v>
      </c>
      <c r="AC141" s="74">
        <v>7.0780599999999998</v>
      </c>
      <c r="AD141" s="74">
        <v>7.0645309999999997</v>
      </c>
      <c r="AE141" s="74">
        <v>7.0504160000000002</v>
      </c>
      <c r="AF141" s="74">
        <v>6.9864030000000001</v>
      </c>
      <c r="AG141" s="74">
        <v>6.9181090000000003</v>
      </c>
      <c r="AH141" s="74">
        <v>6.8764269999999996</v>
      </c>
      <c r="AI141" s="74">
        <v>6.8015420000000004</v>
      </c>
      <c r="AJ141" s="160">
        <v>-1.2E-2</v>
      </c>
    </row>
    <row r="142" spans="1:36" x14ac:dyDescent="0.35">
      <c r="A142" s="74" t="s">
        <v>134</v>
      </c>
      <c r="B142" s="74" t="s">
        <v>1171</v>
      </c>
      <c r="C142" s="74" t="s">
        <v>1170</v>
      </c>
      <c r="D142" s="74" t="s">
        <v>1038</v>
      </c>
      <c r="F142" s="74">
        <v>0.33228200000000002</v>
      </c>
      <c r="G142" s="74">
        <v>0.34432499999999999</v>
      </c>
      <c r="H142" s="74">
        <v>0.35410000000000003</v>
      </c>
      <c r="I142" s="74">
        <v>0.36294799999999999</v>
      </c>
      <c r="J142" s="74">
        <v>0.37239899999999998</v>
      </c>
      <c r="K142" s="74">
        <v>0.3891</v>
      </c>
      <c r="L142" s="74">
        <v>0.40438299999999999</v>
      </c>
      <c r="M142" s="74">
        <v>0.420018</v>
      </c>
      <c r="N142" s="74">
        <v>0.43794499999999997</v>
      </c>
      <c r="O142" s="74">
        <v>0.45745200000000003</v>
      </c>
      <c r="P142" s="74">
        <v>0.49660500000000002</v>
      </c>
      <c r="Q142" s="74">
        <v>0.52180099999999996</v>
      </c>
      <c r="R142" s="74">
        <v>0.54825599999999997</v>
      </c>
      <c r="S142" s="74">
        <v>0.57100399999999996</v>
      </c>
      <c r="T142" s="74">
        <v>0.59139900000000001</v>
      </c>
      <c r="U142" s="74">
        <v>0.61346500000000004</v>
      </c>
      <c r="V142" s="74">
        <v>0.63716099999999998</v>
      </c>
      <c r="W142" s="74">
        <v>0.66135100000000002</v>
      </c>
      <c r="X142" s="74">
        <v>0.68474599999999997</v>
      </c>
      <c r="Y142" s="74">
        <v>0.71194900000000005</v>
      </c>
      <c r="Z142" s="74">
        <v>0.73436199999999996</v>
      </c>
      <c r="AA142" s="74">
        <v>0.754467</v>
      </c>
      <c r="AB142" s="74">
        <v>0.77778700000000001</v>
      </c>
      <c r="AC142" s="74">
        <v>0.80018999999999996</v>
      </c>
      <c r="AD142" s="74">
        <v>0.825291</v>
      </c>
      <c r="AE142" s="74">
        <v>0.85028499999999996</v>
      </c>
      <c r="AF142" s="74">
        <v>0.86919800000000003</v>
      </c>
      <c r="AG142" s="74">
        <v>0.88697099999999995</v>
      </c>
      <c r="AH142" s="74">
        <v>0.90771000000000002</v>
      </c>
      <c r="AI142" s="74">
        <v>0.92855699999999997</v>
      </c>
      <c r="AJ142" s="160">
        <v>3.5999999999999997E-2</v>
      </c>
    </row>
    <row r="143" spans="1:36" x14ac:dyDescent="0.35">
      <c r="A143" s="74" t="s">
        <v>121</v>
      </c>
      <c r="B143" s="74" t="s">
        <v>1169</v>
      </c>
      <c r="C143" s="74" t="s">
        <v>1168</v>
      </c>
      <c r="D143" s="74" t="s">
        <v>1038</v>
      </c>
      <c r="F143" s="74">
        <v>5.3074669999999999</v>
      </c>
      <c r="G143" s="74">
        <v>5.4114230000000001</v>
      </c>
      <c r="H143" s="74">
        <v>5.6303169999999998</v>
      </c>
      <c r="I143" s="74">
        <v>6.1029600000000004</v>
      </c>
      <c r="J143" s="74">
        <v>6.0103020000000003</v>
      </c>
      <c r="K143" s="74">
        <v>6.1567749999999997</v>
      </c>
      <c r="L143" s="74">
        <v>6.2538320000000001</v>
      </c>
      <c r="M143" s="74">
        <v>6.3957990000000002</v>
      </c>
      <c r="N143" s="74">
        <v>6.6829270000000003</v>
      </c>
      <c r="O143" s="74">
        <v>7.0018349999999998</v>
      </c>
      <c r="P143" s="74">
        <v>8.3202300000000005</v>
      </c>
      <c r="Q143" s="74">
        <v>8.7844420000000003</v>
      </c>
      <c r="R143" s="74">
        <v>9.5224580000000003</v>
      </c>
      <c r="S143" s="74">
        <v>10.039811</v>
      </c>
      <c r="T143" s="74">
        <v>10.548373</v>
      </c>
      <c r="U143" s="74">
        <v>11.077159</v>
      </c>
      <c r="V143" s="74">
        <v>11.612667999999999</v>
      </c>
      <c r="W143" s="74">
        <v>12.206821</v>
      </c>
      <c r="X143" s="74">
        <v>12.690640999999999</v>
      </c>
      <c r="Y143" s="74">
        <v>13.324776</v>
      </c>
      <c r="Z143" s="74">
        <v>13.793495999999999</v>
      </c>
      <c r="AA143" s="74">
        <v>14.165316000000001</v>
      </c>
      <c r="AB143" s="74">
        <v>14.663078000000001</v>
      </c>
      <c r="AC143" s="74">
        <v>15.084056</v>
      </c>
      <c r="AD143" s="74">
        <v>15.524816</v>
      </c>
      <c r="AE143" s="74">
        <v>15.965021999999999</v>
      </c>
      <c r="AF143" s="74">
        <v>16.208735000000001</v>
      </c>
      <c r="AG143" s="74">
        <v>16.415545000000002</v>
      </c>
      <c r="AH143" s="74">
        <v>16.687045999999999</v>
      </c>
      <c r="AI143" s="74">
        <v>16.971596000000002</v>
      </c>
      <c r="AJ143" s="160">
        <v>4.1000000000000002E-2</v>
      </c>
    </row>
    <row r="144" spans="1:36" x14ac:dyDescent="0.35">
      <c r="A144" s="74" t="s">
        <v>545</v>
      </c>
      <c r="B144" s="74" t="s">
        <v>1167</v>
      </c>
      <c r="C144" s="74" t="s">
        <v>1166</v>
      </c>
      <c r="D144" s="74" t="s">
        <v>1038</v>
      </c>
      <c r="F144" s="74">
        <v>31.63541</v>
      </c>
      <c r="G144" s="74">
        <v>36.180557</v>
      </c>
      <c r="H144" s="74">
        <v>39.487395999999997</v>
      </c>
      <c r="I144" s="74">
        <v>42.798797999999998</v>
      </c>
      <c r="J144" s="74">
        <v>42.191741999999998</v>
      </c>
      <c r="K144" s="74">
        <v>41.948020999999997</v>
      </c>
      <c r="L144" s="74">
        <v>41.826694000000003</v>
      </c>
      <c r="M144" s="74">
        <v>41.735045999999997</v>
      </c>
      <c r="N144" s="74">
        <v>42.489998</v>
      </c>
      <c r="O144" s="74">
        <v>44.626358000000003</v>
      </c>
      <c r="P144" s="74">
        <v>51.423369999999998</v>
      </c>
      <c r="Q144" s="74">
        <v>54.636322</v>
      </c>
      <c r="R144" s="74">
        <v>58.359248999999998</v>
      </c>
      <c r="S144" s="74">
        <v>61.232464</v>
      </c>
      <c r="T144" s="74">
        <v>63.904998999999997</v>
      </c>
      <c r="U144" s="74">
        <v>66.689353999999994</v>
      </c>
      <c r="V144" s="74">
        <v>69.558616999999998</v>
      </c>
      <c r="W144" s="74">
        <v>72.804726000000002</v>
      </c>
      <c r="X144" s="74">
        <v>75.584823999999998</v>
      </c>
      <c r="Y144" s="74">
        <v>79.129340999999997</v>
      </c>
      <c r="Z144" s="74">
        <v>81.926956000000004</v>
      </c>
      <c r="AA144" s="74">
        <v>84.170692000000003</v>
      </c>
      <c r="AB144" s="74">
        <v>87.175026000000003</v>
      </c>
      <c r="AC144" s="74">
        <v>89.929962000000003</v>
      </c>
      <c r="AD144" s="74">
        <v>92.885261999999997</v>
      </c>
      <c r="AE144" s="74">
        <v>95.964438999999999</v>
      </c>
      <c r="AF144" s="74">
        <v>98.026138000000003</v>
      </c>
      <c r="AG144" s="74">
        <v>99.788177000000005</v>
      </c>
      <c r="AH144" s="74">
        <v>101.98234600000001</v>
      </c>
      <c r="AI144" s="74">
        <v>104.507446</v>
      </c>
      <c r="AJ144" s="160">
        <v>4.2000000000000003E-2</v>
      </c>
    </row>
    <row r="145" spans="1:36" x14ac:dyDescent="0.35">
      <c r="A145" s="74" t="s">
        <v>1115</v>
      </c>
      <c r="B145" s="74" t="s">
        <v>1165</v>
      </c>
      <c r="C145" s="74" t="s">
        <v>1164</v>
      </c>
      <c r="D145" s="74" t="s">
        <v>1038</v>
      </c>
      <c r="F145" s="74">
        <v>10.874454</v>
      </c>
      <c r="G145" s="74">
        <v>9.8351659999999992</v>
      </c>
      <c r="H145" s="74">
        <v>8.3997270000000004</v>
      </c>
      <c r="I145" s="74">
        <v>8.1111260000000005</v>
      </c>
      <c r="J145" s="74">
        <v>8.1395929999999996</v>
      </c>
      <c r="K145" s="74">
        <v>8.1536380000000008</v>
      </c>
      <c r="L145" s="74">
        <v>8.2175340000000006</v>
      </c>
      <c r="M145" s="74">
        <v>8.2848269999999999</v>
      </c>
      <c r="N145" s="74">
        <v>8.4620639999999998</v>
      </c>
      <c r="O145" s="74">
        <v>8.8023340000000001</v>
      </c>
      <c r="P145" s="74">
        <v>10.266228999999999</v>
      </c>
      <c r="Q145" s="74">
        <v>10.691595</v>
      </c>
      <c r="R145" s="74">
        <v>11.403995999999999</v>
      </c>
      <c r="S145" s="74">
        <v>11.841941</v>
      </c>
      <c r="T145" s="74">
        <v>12.223613</v>
      </c>
      <c r="U145" s="74">
        <v>12.628372000000001</v>
      </c>
      <c r="V145" s="74">
        <v>13.023664999999999</v>
      </c>
      <c r="W145" s="74">
        <v>13.464663</v>
      </c>
      <c r="X145" s="74">
        <v>13.770270999999999</v>
      </c>
      <c r="Y145" s="74">
        <v>14.263203000000001</v>
      </c>
      <c r="Z145" s="74">
        <v>14.503444</v>
      </c>
      <c r="AA145" s="74">
        <v>14.657933</v>
      </c>
      <c r="AB145" s="74">
        <v>14.946019</v>
      </c>
      <c r="AC145" s="74">
        <v>15.166725</v>
      </c>
      <c r="AD145" s="74">
        <v>15.403482</v>
      </c>
      <c r="AE145" s="74">
        <v>15.683083999999999</v>
      </c>
      <c r="AF145" s="74">
        <v>15.784469</v>
      </c>
      <c r="AG145" s="74">
        <v>15.839793</v>
      </c>
      <c r="AH145" s="74">
        <v>15.965611000000001</v>
      </c>
      <c r="AI145" s="74">
        <v>16.103718000000001</v>
      </c>
      <c r="AJ145" s="160">
        <v>1.4E-2</v>
      </c>
    </row>
    <row r="146" spans="1:36" x14ac:dyDescent="0.35">
      <c r="A146" s="74" t="s">
        <v>1112</v>
      </c>
      <c r="B146" s="74" t="s">
        <v>1163</v>
      </c>
      <c r="C146" s="74" t="s">
        <v>1162</v>
      </c>
      <c r="D146" s="74" t="s">
        <v>1038</v>
      </c>
      <c r="F146" s="74">
        <v>0.42025099999999999</v>
      </c>
      <c r="G146" s="74">
        <v>0.43015199999999998</v>
      </c>
      <c r="H146" s="74">
        <v>0.42873499999999998</v>
      </c>
      <c r="I146" s="74">
        <v>0.46410899999999999</v>
      </c>
      <c r="J146" s="74">
        <v>0.48558400000000002</v>
      </c>
      <c r="K146" s="74">
        <v>0.52097199999999999</v>
      </c>
      <c r="L146" s="74">
        <v>0.55831200000000003</v>
      </c>
      <c r="M146" s="74">
        <v>0.59722500000000001</v>
      </c>
      <c r="N146" s="74">
        <v>0.64162699999999995</v>
      </c>
      <c r="O146" s="74">
        <v>0.69398499999999996</v>
      </c>
      <c r="P146" s="74">
        <v>0.81490200000000002</v>
      </c>
      <c r="Q146" s="74">
        <v>0.87951699999999999</v>
      </c>
      <c r="R146" s="74">
        <v>0.95844700000000005</v>
      </c>
      <c r="S146" s="74">
        <v>1.0223899999999999</v>
      </c>
      <c r="T146" s="74">
        <v>1.0828329999999999</v>
      </c>
      <c r="U146" s="74">
        <v>1.146987</v>
      </c>
      <c r="V146" s="74">
        <v>1.2128049999999999</v>
      </c>
      <c r="W146" s="74">
        <v>1.2826489999999999</v>
      </c>
      <c r="X146" s="74">
        <v>1.3449</v>
      </c>
      <c r="Y146" s="74">
        <v>1.421338</v>
      </c>
      <c r="Z146" s="74">
        <v>1.4818370000000001</v>
      </c>
      <c r="AA146" s="74">
        <v>1.53461</v>
      </c>
      <c r="AB146" s="74">
        <v>1.598657</v>
      </c>
      <c r="AC146" s="74">
        <v>1.658409</v>
      </c>
      <c r="AD146" s="74">
        <v>1.7217979999999999</v>
      </c>
      <c r="AE146" s="74">
        <v>1.7863070000000001</v>
      </c>
      <c r="AF146" s="74">
        <v>1.833377</v>
      </c>
      <c r="AG146" s="74">
        <v>1.8764110000000001</v>
      </c>
      <c r="AH146" s="74">
        <v>1.926936</v>
      </c>
      <c r="AI146" s="74">
        <v>1.9788399999999999</v>
      </c>
      <c r="AJ146" s="160">
        <v>5.5E-2</v>
      </c>
    </row>
    <row r="147" spans="1:36" x14ac:dyDescent="0.35">
      <c r="A147" s="74" t="s">
        <v>1109</v>
      </c>
      <c r="B147" s="74" t="s">
        <v>1161</v>
      </c>
      <c r="C147" s="74" t="s">
        <v>1160</v>
      </c>
      <c r="D147" s="74" t="s">
        <v>1038</v>
      </c>
      <c r="F147" s="74">
        <v>0</v>
      </c>
      <c r="G147" s="74">
        <v>0</v>
      </c>
      <c r="H147" s="74">
        <v>0</v>
      </c>
      <c r="I147" s="74">
        <v>0</v>
      </c>
      <c r="J147" s="74">
        <v>0</v>
      </c>
      <c r="K147" s="74">
        <v>0</v>
      </c>
      <c r="L147" s="74">
        <v>0</v>
      </c>
      <c r="M147" s="74">
        <v>0</v>
      </c>
      <c r="N147" s="74">
        <v>0</v>
      </c>
      <c r="O147" s="74">
        <v>0</v>
      </c>
      <c r="P147" s="74">
        <v>0</v>
      </c>
      <c r="Q147" s="74">
        <v>0</v>
      </c>
      <c r="R147" s="74">
        <v>0</v>
      </c>
      <c r="S147" s="74">
        <v>0</v>
      </c>
      <c r="T147" s="74">
        <v>0</v>
      </c>
      <c r="U147" s="74">
        <v>0</v>
      </c>
      <c r="V147" s="74">
        <v>0</v>
      </c>
      <c r="W147" s="74">
        <v>0</v>
      </c>
      <c r="X147" s="74">
        <v>0</v>
      </c>
      <c r="Y147" s="74">
        <v>0</v>
      </c>
      <c r="Z147" s="74">
        <v>0</v>
      </c>
      <c r="AA147" s="74">
        <v>0</v>
      </c>
      <c r="AB147" s="74">
        <v>0</v>
      </c>
      <c r="AC147" s="74">
        <v>0</v>
      </c>
      <c r="AD147" s="74">
        <v>0</v>
      </c>
      <c r="AE147" s="74">
        <v>0</v>
      </c>
      <c r="AF147" s="74">
        <v>0</v>
      </c>
      <c r="AG147" s="74">
        <v>0</v>
      </c>
      <c r="AH147" s="74">
        <v>0</v>
      </c>
      <c r="AI147" s="74">
        <v>0</v>
      </c>
      <c r="AJ147" s="74" t="s">
        <v>12</v>
      </c>
    </row>
    <row r="148" spans="1:36" x14ac:dyDescent="0.35">
      <c r="A148" s="74" t="s">
        <v>1106</v>
      </c>
      <c r="B148" s="74" t="s">
        <v>1159</v>
      </c>
      <c r="C148" s="74" t="s">
        <v>1158</v>
      </c>
      <c r="D148" s="74" t="s">
        <v>1038</v>
      </c>
      <c r="F148" s="74">
        <v>65.556274000000002</v>
      </c>
      <c r="G148" s="74">
        <v>72.167823999999996</v>
      </c>
      <c r="H148" s="74">
        <v>76.454757999999998</v>
      </c>
      <c r="I148" s="74">
        <v>75.358733999999998</v>
      </c>
      <c r="J148" s="74">
        <v>72.951453999999998</v>
      </c>
      <c r="K148" s="74">
        <v>72.958213999999998</v>
      </c>
      <c r="L148" s="74">
        <v>73.461357000000007</v>
      </c>
      <c r="M148" s="74">
        <v>73.863051999999996</v>
      </c>
      <c r="N148" s="74">
        <v>74.544967999999997</v>
      </c>
      <c r="O148" s="74">
        <v>75.600982999999999</v>
      </c>
      <c r="P148" s="74">
        <v>82.234406000000007</v>
      </c>
      <c r="Q148" s="74">
        <v>82.971076999999994</v>
      </c>
      <c r="R148" s="74">
        <v>84.917061000000004</v>
      </c>
      <c r="S148" s="74">
        <v>85.808006000000006</v>
      </c>
      <c r="T148" s="74">
        <v>86.324973999999997</v>
      </c>
      <c r="U148" s="74">
        <v>87.110802000000007</v>
      </c>
      <c r="V148" s="74">
        <v>88.070435000000003</v>
      </c>
      <c r="W148" s="74">
        <v>89.213134999999994</v>
      </c>
      <c r="X148" s="74">
        <v>89.929680000000005</v>
      </c>
      <c r="Y148" s="74">
        <v>91.434921000000003</v>
      </c>
      <c r="Z148" s="74">
        <v>92.816856000000001</v>
      </c>
      <c r="AA148" s="74">
        <v>93.187019000000006</v>
      </c>
      <c r="AB148" s="74">
        <v>94.123977999999994</v>
      </c>
      <c r="AC148" s="74">
        <v>94.865913000000006</v>
      </c>
      <c r="AD148" s="74">
        <v>95.836455999999998</v>
      </c>
      <c r="AE148" s="74">
        <v>96.881377999999998</v>
      </c>
      <c r="AF148" s="74">
        <v>97.075737000000004</v>
      </c>
      <c r="AG148" s="74">
        <v>97.099968000000004</v>
      </c>
      <c r="AH148" s="74">
        <v>97.526084999999995</v>
      </c>
      <c r="AI148" s="74">
        <v>98.026854999999998</v>
      </c>
      <c r="AJ148" s="160">
        <v>1.4E-2</v>
      </c>
    </row>
    <row r="149" spans="1:36" x14ac:dyDescent="0.35">
      <c r="A149" s="74" t="s">
        <v>1103</v>
      </c>
      <c r="B149" s="74" t="s">
        <v>1157</v>
      </c>
      <c r="C149" s="74" t="s">
        <v>1156</v>
      </c>
      <c r="D149" s="74" t="s">
        <v>1038</v>
      </c>
      <c r="F149" s="74">
        <v>2.8055E-2</v>
      </c>
      <c r="G149" s="74">
        <v>2.6776000000000001E-2</v>
      </c>
      <c r="H149" s="74">
        <v>2.3921000000000001E-2</v>
      </c>
      <c r="I149" s="74">
        <v>2.2030999999999999E-2</v>
      </c>
      <c r="J149" s="74">
        <v>2.0837999999999999E-2</v>
      </c>
      <c r="K149" s="74">
        <v>2.0036000000000002E-2</v>
      </c>
      <c r="L149" s="74">
        <v>1.9524E-2</v>
      </c>
      <c r="M149" s="74">
        <v>1.9102999999999998E-2</v>
      </c>
      <c r="N149" s="74">
        <v>1.8586999999999999E-2</v>
      </c>
      <c r="O149" s="74">
        <v>1.8319999999999999E-2</v>
      </c>
      <c r="P149" s="74">
        <v>1.532E-2</v>
      </c>
      <c r="Q149" s="74">
        <v>1.6049999999999998E-2</v>
      </c>
      <c r="R149" s="74">
        <v>1.5394E-2</v>
      </c>
      <c r="S149" s="74">
        <v>1.528E-2</v>
      </c>
      <c r="T149" s="74">
        <v>1.5044E-2</v>
      </c>
      <c r="U149" s="74">
        <v>1.4822E-2</v>
      </c>
      <c r="V149" s="74">
        <v>1.464E-2</v>
      </c>
      <c r="W149" s="74">
        <v>1.4533000000000001E-2</v>
      </c>
      <c r="X149" s="74">
        <v>1.4334E-2</v>
      </c>
      <c r="Y149" s="74">
        <v>1.4290000000000001E-2</v>
      </c>
      <c r="Z149" s="74">
        <v>1.4215E-2</v>
      </c>
      <c r="AA149" s="74">
        <v>1.4318000000000001E-2</v>
      </c>
      <c r="AB149" s="74">
        <v>1.4559000000000001E-2</v>
      </c>
      <c r="AC149" s="74">
        <v>1.4803999999999999E-2</v>
      </c>
      <c r="AD149" s="74">
        <v>1.5016E-2</v>
      </c>
      <c r="AE149" s="74">
        <v>1.5277000000000001E-2</v>
      </c>
      <c r="AF149" s="74">
        <v>1.5387E-2</v>
      </c>
      <c r="AG149" s="74">
        <v>1.5481999999999999E-2</v>
      </c>
      <c r="AH149" s="74">
        <v>1.5579000000000001E-2</v>
      </c>
      <c r="AI149" s="74">
        <v>1.5734999999999999E-2</v>
      </c>
      <c r="AJ149" s="160">
        <v>-0.02</v>
      </c>
    </row>
    <row r="150" spans="1:36" x14ac:dyDescent="0.35">
      <c r="A150" s="74" t="s">
        <v>1100</v>
      </c>
      <c r="B150" s="74" t="s">
        <v>1155</v>
      </c>
      <c r="C150" s="74" t="s">
        <v>1154</v>
      </c>
      <c r="D150" s="74" t="s">
        <v>1038</v>
      </c>
      <c r="F150" s="74">
        <v>1.7510999999999999E-2</v>
      </c>
      <c r="G150" s="74">
        <v>1.899E-2</v>
      </c>
      <c r="H150" s="74">
        <v>1.7985000000000001E-2</v>
      </c>
      <c r="I150" s="74">
        <v>1.6965000000000001E-2</v>
      </c>
      <c r="J150" s="74">
        <v>1.6383999999999999E-2</v>
      </c>
      <c r="K150" s="74">
        <v>1.5997999999999998E-2</v>
      </c>
      <c r="L150" s="74">
        <v>1.5790999999999999E-2</v>
      </c>
      <c r="M150" s="74">
        <v>1.5661000000000001E-2</v>
      </c>
      <c r="N150" s="74">
        <v>1.5466000000000001E-2</v>
      </c>
      <c r="O150" s="74">
        <v>1.5500999999999999E-2</v>
      </c>
      <c r="P150" s="74">
        <v>1.3139E-2</v>
      </c>
      <c r="Q150" s="74">
        <v>1.4224000000000001E-2</v>
      </c>
      <c r="R150" s="74">
        <v>1.3885E-2</v>
      </c>
      <c r="S150" s="74">
        <v>1.4034E-2</v>
      </c>
      <c r="T150" s="74">
        <v>1.4038999999999999E-2</v>
      </c>
      <c r="U150" s="74">
        <v>1.405E-2</v>
      </c>
      <c r="V150" s="74">
        <v>1.4116E-2</v>
      </c>
      <c r="W150" s="74">
        <v>1.4267E-2</v>
      </c>
      <c r="X150" s="74">
        <v>1.4323000000000001E-2</v>
      </c>
      <c r="Y150" s="74">
        <v>1.4498E-2</v>
      </c>
      <c r="Z150" s="74">
        <v>1.4572999999999999E-2</v>
      </c>
      <c r="AA150" s="74">
        <v>1.4607999999999999E-2</v>
      </c>
      <c r="AB150" s="74">
        <v>1.4762000000000001E-2</v>
      </c>
      <c r="AC150" s="74">
        <v>1.4923000000000001E-2</v>
      </c>
      <c r="AD150" s="74">
        <v>1.507E-2</v>
      </c>
      <c r="AE150" s="74">
        <v>1.5252E-2</v>
      </c>
      <c r="AF150" s="74">
        <v>1.5282E-2</v>
      </c>
      <c r="AG150" s="74">
        <v>1.5271E-2</v>
      </c>
      <c r="AH150" s="74">
        <v>1.5266999999999999E-2</v>
      </c>
      <c r="AI150" s="74">
        <v>1.5337E-2</v>
      </c>
      <c r="AJ150" s="160">
        <v>-5.0000000000000001E-3</v>
      </c>
    </row>
    <row r="151" spans="1:36" x14ac:dyDescent="0.35">
      <c r="A151" s="74" t="s">
        <v>1097</v>
      </c>
      <c r="B151" s="74" t="s">
        <v>1152</v>
      </c>
      <c r="C151" s="74" t="s">
        <v>1153</v>
      </c>
      <c r="D151" s="74" t="s">
        <v>1038</v>
      </c>
      <c r="F151" s="74">
        <v>1.3962E-2</v>
      </c>
      <c r="G151" s="74">
        <v>2.3747999999999998E-2</v>
      </c>
      <c r="H151" s="74">
        <v>2.7081000000000001E-2</v>
      </c>
      <c r="I151" s="74">
        <v>2.5572999999999999E-2</v>
      </c>
      <c r="J151" s="74">
        <v>2.5311E-2</v>
      </c>
      <c r="K151" s="74">
        <v>2.5049999999999999E-2</v>
      </c>
      <c r="L151" s="74">
        <v>2.4947E-2</v>
      </c>
      <c r="M151" s="74">
        <v>2.4908E-2</v>
      </c>
      <c r="N151" s="74">
        <v>2.5054E-2</v>
      </c>
      <c r="O151" s="74">
        <v>2.5224E-2</v>
      </c>
      <c r="P151" s="74">
        <v>2.5892999999999999E-2</v>
      </c>
      <c r="Q151" s="74">
        <v>2.9590000000000002E-2</v>
      </c>
      <c r="R151" s="74">
        <v>3.0259000000000001E-2</v>
      </c>
      <c r="S151" s="74">
        <v>3.1361E-2</v>
      </c>
      <c r="T151" s="74">
        <v>3.1898999999999997E-2</v>
      </c>
      <c r="U151" s="74">
        <v>3.2510999999999998E-2</v>
      </c>
      <c r="V151" s="74">
        <v>3.3203000000000003E-2</v>
      </c>
      <c r="W151" s="74">
        <v>3.3949E-2</v>
      </c>
      <c r="X151" s="74">
        <v>3.4991000000000001E-2</v>
      </c>
      <c r="Y151" s="74">
        <v>3.5707000000000003E-2</v>
      </c>
      <c r="Z151" s="74">
        <v>3.662E-2</v>
      </c>
      <c r="AA151" s="74">
        <v>3.7421000000000003E-2</v>
      </c>
      <c r="AB151" s="74">
        <v>3.8112E-2</v>
      </c>
      <c r="AC151" s="74">
        <v>3.9015000000000001E-2</v>
      </c>
      <c r="AD151" s="74">
        <v>4.0260999999999998E-2</v>
      </c>
      <c r="AE151" s="74">
        <v>4.1366E-2</v>
      </c>
      <c r="AF151" s="74">
        <v>4.2341999999999998E-2</v>
      </c>
      <c r="AG151" s="74">
        <v>4.3137000000000002E-2</v>
      </c>
      <c r="AH151" s="74">
        <v>4.4062999999999998E-2</v>
      </c>
      <c r="AI151" s="74">
        <v>4.5221999999999998E-2</v>
      </c>
      <c r="AJ151" s="160">
        <v>4.1000000000000002E-2</v>
      </c>
    </row>
    <row r="152" spans="1:36" x14ac:dyDescent="0.35">
      <c r="A152" s="74" t="s">
        <v>1094</v>
      </c>
      <c r="B152" s="74" t="s">
        <v>1152</v>
      </c>
      <c r="C152" s="74" t="s">
        <v>1151</v>
      </c>
      <c r="D152" s="74" t="s">
        <v>1038</v>
      </c>
      <c r="F152" s="74">
        <v>8.3490000000000005E-3</v>
      </c>
      <c r="G152" s="74">
        <v>8.5030000000000001E-3</v>
      </c>
      <c r="H152" s="74">
        <v>8.3759999999999998E-3</v>
      </c>
      <c r="I152" s="74">
        <v>7.8849999999999996E-3</v>
      </c>
      <c r="J152" s="74">
        <v>7.5719999999999997E-3</v>
      </c>
      <c r="K152" s="74">
        <v>7.4330000000000004E-3</v>
      </c>
      <c r="L152" s="74">
        <v>7.2750000000000002E-3</v>
      </c>
      <c r="M152" s="74">
        <v>7.0740000000000004E-3</v>
      </c>
      <c r="N152" s="74">
        <v>6.9470000000000001E-3</v>
      </c>
      <c r="O152" s="74">
        <v>6.8960000000000002E-3</v>
      </c>
      <c r="P152" s="74">
        <v>7.221E-3</v>
      </c>
      <c r="Q152" s="74">
        <v>7.5729999999999999E-3</v>
      </c>
      <c r="R152" s="74">
        <v>7.587E-3</v>
      </c>
      <c r="S152" s="74">
        <v>7.6119999999999998E-3</v>
      </c>
      <c r="T152" s="74">
        <v>7.5620000000000001E-3</v>
      </c>
      <c r="U152" s="74">
        <v>7.5300000000000002E-3</v>
      </c>
      <c r="V152" s="74">
        <v>7.5079999999999999E-3</v>
      </c>
      <c r="W152" s="74">
        <v>7.5620000000000001E-3</v>
      </c>
      <c r="X152" s="74">
        <v>7.5510000000000004E-3</v>
      </c>
      <c r="Y152" s="74">
        <v>7.5789999999999998E-3</v>
      </c>
      <c r="Z152" s="74">
        <v>7.5900000000000004E-3</v>
      </c>
      <c r="AA152" s="74">
        <v>7.5940000000000001E-3</v>
      </c>
      <c r="AB152" s="74">
        <v>7.6350000000000003E-3</v>
      </c>
      <c r="AC152" s="74">
        <v>7.6649999999999999E-3</v>
      </c>
      <c r="AD152" s="74">
        <v>7.7549999999999997E-3</v>
      </c>
      <c r="AE152" s="74">
        <v>7.8390000000000005E-3</v>
      </c>
      <c r="AF152" s="74">
        <v>7.8340000000000007E-3</v>
      </c>
      <c r="AG152" s="74">
        <v>7.7819999999999999E-3</v>
      </c>
      <c r="AH152" s="74">
        <v>7.7939999999999997E-3</v>
      </c>
      <c r="AI152" s="74">
        <v>7.8460000000000005E-3</v>
      </c>
      <c r="AJ152" s="160">
        <v>-2E-3</v>
      </c>
    </row>
    <row r="153" spans="1:36" x14ac:dyDescent="0.35">
      <c r="A153" s="74" t="s">
        <v>82</v>
      </c>
      <c r="B153" s="74" t="s">
        <v>1150</v>
      </c>
      <c r="C153" s="74" t="s">
        <v>1149</v>
      </c>
      <c r="D153" s="74" t="s">
        <v>1038</v>
      </c>
      <c r="F153" s="74">
        <v>0</v>
      </c>
      <c r="G153" s="74">
        <v>0</v>
      </c>
      <c r="H153" s="74">
        <v>0</v>
      </c>
      <c r="I153" s="74">
        <v>0</v>
      </c>
      <c r="J153" s="74">
        <v>0</v>
      </c>
      <c r="K153" s="74">
        <v>0</v>
      </c>
      <c r="L153" s="74">
        <v>0</v>
      </c>
      <c r="M153" s="74">
        <v>0</v>
      </c>
      <c r="N153" s="74">
        <v>0</v>
      </c>
      <c r="O153" s="74">
        <v>0</v>
      </c>
      <c r="P153" s="74">
        <v>0</v>
      </c>
      <c r="Q153" s="74">
        <v>0</v>
      </c>
      <c r="R153" s="74">
        <v>0</v>
      </c>
      <c r="S153" s="74">
        <v>0</v>
      </c>
      <c r="T153" s="74">
        <v>0</v>
      </c>
      <c r="U153" s="74">
        <v>0</v>
      </c>
      <c r="V153" s="74">
        <v>0</v>
      </c>
      <c r="W153" s="74">
        <v>0</v>
      </c>
      <c r="X153" s="74">
        <v>0</v>
      </c>
      <c r="Y153" s="74">
        <v>0</v>
      </c>
      <c r="Z153" s="74">
        <v>0</v>
      </c>
      <c r="AA153" s="74">
        <v>0</v>
      </c>
      <c r="AB153" s="74">
        <v>0</v>
      </c>
      <c r="AC153" s="74">
        <v>0</v>
      </c>
      <c r="AD153" s="74">
        <v>0</v>
      </c>
      <c r="AE153" s="74">
        <v>0</v>
      </c>
      <c r="AF153" s="74">
        <v>0</v>
      </c>
      <c r="AG153" s="74">
        <v>0</v>
      </c>
      <c r="AH153" s="74">
        <v>0</v>
      </c>
      <c r="AI153" s="74">
        <v>0</v>
      </c>
      <c r="AJ153" s="74" t="s">
        <v>12</v>
      </c>
    </row>
    <row r="154" spans="1:36" x14ac:dyDescent="0.35">
      <c r="A154" s="74" t="s">
        <v>69</v>
      </c>
      <c r="B154" s="74" t="s">
        <v>1148</v>
      </c>
      <c r="C154" s="74" t="s">
        <v>1147</v>
      </c>
      <c r="D154" s="74" t="s">
        <v>1038</v>
      </c>
      <c r="F154" s="74">
        <v>1.0944100000000001</v>
      </c>
      <c r="G154" s="74">
        <v>0.763293</v>
      </c>
      <c r="H154" s="74">
        <v>0.80526799999999998</v>
      </c>
      <c r="I154" s="74">
        <v>0.83996700000000002</v>
      </c>
      <c r="J154" s="74">
        <v>0.93074800000000002</v>
      </c>
      <c r="K154" s="74">
        <v>1.056346</v>
      </c>
      <c r="L154" s="74">
        <v>1.1702669999999999</v>
      </c>
      <c r="M154" s="74">
        <v>1.2938689999999999</v>
      </c>
      <c r="N154" s="74">
        <v>1.420957</v>
      </c>
      <c r="O154" s="74">
        <v>1.545309</v>
      </c>
      <c r="P154" s="74">
        <v>1.7522150000000001</v>
      </c>
      <c r="Q154" s="74">
        <v>1.9683660000000001</v>
      </c>
      <c r="R154" s="74">
        <v>2.07036</v>
      </c>
      <c r="S154" s="74">
        <v>2.1475659999999999</v>
      </c>
      <c r="T154" s="74">
        <v>2.1776650000000002</v>
      </c>
      <c r="U154" s="74">
        <v>2.1930489999999998</v>
      </c>
      <c r="V154" s="74">
        <v>2.1958769999999999</v>
      </c>
      <c r="W154" s="74">
        <v>2.272319</v>
      </c>
      <c r="X154" s="74">
        <v>2.351864</v>
      </c>
      <c r="Y154" s="74">
        <v>2.432598</v>
      </c>
      <c r="Z154" s="74">
        <v>2.5006710000000001</v>
      </c>
      <c r="AA154" s="74">
        <v>2.5495589999999999</v>
      </c>
      <c r="AB154" s="74">
        <v>2.6013190000000002</v>
      </c>
      <c r="AC154" s="74">
        <v>2.6533229999999999</v>
      </c>
      <c r="AD154" s="74">
        <v>2.706909</v>
      </c>
      <c r="AE154" s="74">
        <v>2.7520169999999999</v>
      </c>
      <c r="AF154" s="74">
        <v>2.7732929999999998</v>
      </c>
      <c r="AG154" s="74">
        <v>2.7790180000000002</v>
      </c>
      <c r="AH154" s="74">
        <v>2.7858640000000001</v>
      </c>
      <c r="AI154" s="74">
        <v>2.7955800000000002</v>
      </c>
      <c r="AJ154" s="160">
        <v>3.3000000000000002E-2</v>
      </c>
    </row>
    <row r="155" spans="1:36" x14ac:dyDescent="0.35">
      <c r="A155" s="74" t="s">
        <v>1146</v>
      </c>
      <c r="B155" s="74" t="s">
        <v>1145</v>
      </c>
      <c r="C155" s="74" t="s">
        <v>1144</v>
      </c>
      <c r="D155" s="74" t="s">
        <v>1038</v>
      </c>
      <c r="F155" s="74">
        <v>124.818336</v>
      </c>
      <c r="G155" s="74">
        <v>134.217896</v>
      </c>
      <c r="H155" s="74">
        <v>140.10389699999999</v>
      </c>
      <c r="I155" s="74">
        <v>142.18731700000001</v>
      </c>
      <c r="J155" s="74">
        <v>138.91000399999999</v>
      </c>
      <c r="K155" s="74">
        <v>138.88630699999999</v>
      </c>
      <c r="L155" s="74">
        <v>139.46487400000001</v>
      </c>
      <c r="M155" s="74">
        <v>140.03663599999999</v>
      </c>
      <c r="N155" s="74">
        <v>142.04226700000001</v>
      </c>
      <c r="O155" s="74">
        <v>146.03178399999999</v>
      </c>
      <c r="P155" s="74">
        <v>162.85076900000001</v>
      </c>
      <c r="Q155" s="74">
        <v>167.94975299999999</v>
      </c>
      <c r="R155" s="74">
        <v>175.29264800000001</v>
      </c>
      <c r="S155" s="74">
        <v>180.13827499999999</v>
      </c>
      <c r="T155" s="74">
        <v>184.26573200000001</v>
      </c>
      <c r="U155" s="74">
        <v>188.830536</v>
      </c>
      <c r="V155" s="74">
        <v>193.66043099999999</v>
      </c>
      <c r="W155" s="74">
        <v>199.23898299999999</v>
      </c>
      <c r="X155" s="74">
        <v>203.660965</v>
      </c>
      <c r="Y155" s="74">
        <v>210.038162</v>
      </c>
      <c r="Z155" s="74">
        <v>215.03295900000001</v>
      </c>
      <c r="AA155" s="74">
        <v>218.23507699999999</v>
      </c>
      <c r="AB155" s="74">
        <v>223.07629399999999</v>
      </c>
      <c r="AC155" s="74">
        <v>227.31303399999999</v>
      </c>
      <c r="AD155" s="74">
        <v>232.046661</v>
      </c>
      <c r="AE155" s="74">
        <v>237.01269500000001</v>
      </c>
      <c r="AF155" s="74">
        <v>239.63819899999999</v>
      </c>
      <c r="AG155" s="74">
        <v>241.68568400000001</v>
      </c>
      <c r="AH155" s="74">
        <v>244.74073799999999</v>
      </c>
      <c r="AI155" s="74">
        <v>248.198273</v>
      </c>
      <c r="AJ155" s="160">
        <v>2.4E-2</v>
      </c>
    </row>
    <row r="156" spans="1:36" x14ac:dyDescent="0.35">
      <c r="A156" s="74" t="s">
        <v>850</v>
      </c>
      <c r="B156" s="74" t="s">
        <v>1143</v>
      </c>
      <c r="C156" s="74" t="s">
        <v>1142</v>
      </c>
      <c r="D156" s="74" t="s">
        <v>979</v>
      </c>
      <c r="F156" s="74">
        <v>13.058121999999999</v>
      </c>
      <c r="G156" s="74">
        <v>14.707798</v>
      </c>
      <c r="H156" s="74">
        <v>16.138100000000001</v>
      </c>
      <c r="I156" s="74">
        <v>17.004301000000002</v>
      </c>
      <c r="J156" s="74">
        <v>17.256398999999998</v>
      </c>
      <c r="K156" s="74">
        <v>17.486806999999999</v>
      </c>
      <c r="L156" s="74">
        <v>17.805733</v>
      </c>
      <c r="M156" s="74">
        <v>18.128748000000002</v>
      </c>
      <c r="N156" s="74">
        <v>18.532682000000001</v>
      </c>
      <c r="O156" s="74">
        <v>19.100339999999999</v>
      </c>
      <c r="P156" s="74">
        <v>20.327449999999999</v>
      </c>
      <c r="Q156" s="74">
        <v>21.048828</v>
      </c>
      <c r="R156" s="74">
        <v>21.763863000000001</v>
      </c>
      <c r="S156" s="74">
        <v>22.361885000000001</v>
      </c>
      <c r="T156" s="74">
        <v>22.942764</v>
      </c>
      <c r="U156" s="74">
        <v>23.509471999999999</v>
      </c>
      <c r="V156" s="74">
        <v>24.050232000000001</v>
      </c>
      <c r="W156" s="74">
        <v>24.650703</v>
      </c>
      <c r="X156" s="74">
        <v>25.178272</v>
      </c>
      <c r="Y156" s="74">
        <v>25.761219000000001</v>
      </c>
      <c r="Z156" s="74">
        <v>26.378902</v>
      </c>
      <c r="AA156" s="74">
        <v>26.861069000000001</v>
      </c>
      <c r="AB156" s="74">
        <v>27.403020999999999</v>
      </c>
      <c r="AC156" s="74">
        <v>27.925373</v>
      </c>
      <c r="AD156" s="74">
        <v>28.421434000000001</v>
      </c>
      <c r="AE156" s="74">
        <v>28.934474999999999</v>
      </c>
      <c r="AF156" s="74">
        <v>29.388794000000001</v>
      </c>
      <c r="AG156" s="74">
        <v>29.804976</v>
      </c>
      <c r="AH156" s="74">
        <v>30.227264000000002</v>
      </c>
      <c r="AI156" s="74">
        <v>30.679897</v>
      </c>
      <c r="AJ156" s="160">
        <v>0.03</v>
      </c>
    </row>
    <row r="157" spans="1:36" x14ac:dyDescent="0.35">
      <c r="A157" s="74" t="s">
        <v>848</v>
      </c>
      <c r="B157" s="74" t="s">
        <v>1141</v>
      </c>
      <c r="C157" s="74" t="s">
        <v>1140</v>
      </c>
      <c r="D157" s="74" t="s">
        <v>1038</v>
      </c>
      <c r="F157" s="74">
        <v>955.86749299999997</v>
      </c>
      <c r="G157" s="74">
        <v>912.56280500000003</v>
      </c>
      <c r="H157" s="74">
        <v>868.15612799999997</v>
      </c>
      <c r="I157" s="74">
        <v>836.18444799999997</v>
      </c>
      <c r="J157" s="74">
        <v>804.97680700000001</v>
      </c>
      <c r="K157" s="74">
        <v>794.23480199999995</v>
      </c>
      <c r="L157" s="74">
        <v>783.25830099999996</v>
      </c>
      <c r="M157" s="74">
        <v>772.45617700000003</v>
      </c>
      <c r="N157" s="74">
        <v>766.44201699999996</v>
      </c>
      <c r="O157" s="74">
        <v>764.55071999999996</v>
      </c>
      <c r="P157" s="74">
        <v>801.13720699999999</v>
      </c>
      <c r="Q157" s="74">
        <v>797.90551800000003</v>
      </c>
      <c r="R157" s="74">
        <v>805.42987100000005</v>
      </c>
      <c r="S157" s="74">
        <v>805.55944799999997</v>
      </c>
      <c r="T157" s="74">
        <v>803.15399200000002</v>
      </c>
      <c r="U157" s="74">
        <v>803.21044900000004</v>
      </c>
      <c r="V157" s="74">
        <v>805.23315400000001</v>
      </c>
      <c r="W157" s="74">
        <v>808.24865699999998</v>
      </c>
      <c r="X157" s="74">
        <v>808.87591599999996</v>
      </c>
      <c r="Y157" s="74">
        <v>815.32696499999997</v>
      </c>
      <c r="Z157" s="74">
        <v>815.17022699999995</v>
      </c>
      <c r="AA157" s="74">
        <v>812.458618</v>
      </c>
      <c r="AB157" s="74">
        <v>814.05731200000002</v>
      </c>
      <c r="AC157" s="74">
        <v>814.00176999999996</v>
      </c>
      <c r="AD157" s="74">
        <v>816.44946300000004</v>
      </c>
      <c r="AE157" s="74">
        <v>819.135986</v>
      </c>
      <c r="AF157" s="74">
        <v>815.40667699999995</v>
      </c>
      <c r="AG157" s="74">
        <v>810.89038100000005</v>
      </c>
      <c r="AH157" s="74">
        <v>809.66882299999997</v>
      </c>
      <c r="AI157" s="74">
        <v>808.99316399999998</v>
      </c>
      <c r="AJ157" s="160">
        <v>-6.0000000000000001E-3</v>
      </c>
    </row>
    <row r="158" spans="1:36" x14ac:dyDescent="0.35">
      <c r="A158" s="74" t="s">
        <v>1139</v>
      </c>
      <c r="C158" s="74" t="s">
        <v>1138</v>
      </c>
    </row>
    <row r="159" spans="1:36" x14ac:dyDescent="0.35">
      <c r="A159" s="74" t="s">
        <v>1137</v>
      </c>
      <c r="C159" s="74" t="s">
        <v>1136</v>
      </c>
    </row>
    <row r="160" spans="1:36" x14ac:dyDescent="0.35">
      <c r="A160" s="74" t="s">
        <v>1135</v>
      </c>
      <c r="B160" s="74" t="s">
        <v>1134</v>
      </c>
      <c r="C160" s="74" t="s">
        <v>1133</v>
      </c>
      <c r="D160" s="74" t="s">
        <v>1038</v>
      </c>
      <c r="F160" s="74">
        <v>1077.2330320000001</v>
      </c>
      <c r="G160" s="74">
        <v>1088.5523679999999</v>
      </c>
      <c r="H160" s="74">
        <v>1119.0802000000001</v>
      </c>
      <c r="I160" s="74">
        <v>1131.6729740000001</v>
      </c>
      <c r="J160" s="74">
        <v>1149.529419</v>
      </c>
      <c r="K160" s="74">
        <v>1166.5938719999999</v>
      </c>
      <c r="L160" s="74">
        <v>1166.715332</v>
      </c>
      <c r="M160" s="74">
        <v>1156.477905</v>
      </c>
      <c r="N160" s="74">
        <v>1151.6114500000001</v>
      </c>
      <c r="O160" s="74">
        <v>1142.461914</v>
      </c>
      <c r="P160" s="74">
        <v>1094.4812010000001</v>
      </c>
      <c r="Q160" s="74">
        <v>1082.1457519999999</v>
      </c>
      <c r="R160" s="74">
        <v>1068.7042240000001</v>
      </c>
      <c r="S160" s="74">
        <v>1060.562866</v>
      </c>
      <c r="T160" s="74">
        <v>1053.449341</v>
      </c>
      <c r="U160" s="74">
        <v>1051.6102289999999</v>
      </c>
      <c r="V160" s="74">
        <v>1054.775879</v>
      </c>
      <c r="W160" s="74">
        <v>1055.0615230000001</v>
      </c>
      <c r="X160" s="74">
        <v>1061.206543</v>
      </c>
      <c r="Y160" s="74">
        <v>1068.0317379999999</v>
      </c>
      <c r="Z160" s="74">
        <v>1069.764404</v>
      </c>
      <c r="AA160" s="74">
        <v>1071.1270750000001</v>
      </c>
      <c r="AB160" s="74">
        <v>1072.7849120000001</v>
      </c>
      <c r="AC160" s="74">
        <v>1073.029053</v>
      </c>
      <c r="AD160" s="74">
        <v>1078.986328</v>
      </c>
      <c r="AE160" s="74">
        <v>1083.744629</v>
      </c>
      <c r="AF160" s="74">
        <v>1084.397095</v>
      </c>
      <c r="AG160" s="74">
        <v>1087.505615</v>
      </c>
      <c r="AH160" s="74">
        <v>1094.208374</v>
      </c>
      <c r="AI160" s="74">
        <v>1100.0299070000001</v>
      </c>
      <c r="AJ160" s="160">
        <v>1E-3</v>
      </c>
    </row>
    <row r="161" spans="1:36" x14ac:dyDescent="0.35">
      <c r="A161" s="74" t="s">
        <v>1132</v>
      </c>
      <c r="B161" s="74" t="s">
        <v>1131</v>
      </c>
      <c r="C161" s="74" t="s">
        <v>1130</v>
      </c>
      <c r="D161" s="74" t="s">
        <v>1038</v>
      </c>
      <c r="F161" s="74">
        <v>8.8746179999999999</v>
      </c>
      <c r="G161" s="74">
        <v>9.7030019999999997</v>
      </c>
      <c r="H161" s="74">
        <v>9.5267809999999997</v>
      </c>
      <c r="I161" s="74">
        <v>9.2016120000000008</v>
      </c>
      <c r="J161" s="74">
        <v>9.2332459999999994</v>
      </c>
      <c r="K161" s="74">
        <v>9.5250430000000001</v>
      </c>
      <c r="L161" s="74">
        <v>9.5918310000000009</v>
      </c>
      <c r="M161" s="74">
        <v>9.6021629999999991</v>
      </c>
      <c r="N161" s="74">
        <v>9.6377970000000008</v>
      </c>
      <c r="O161" s="74">
        <v>9.9404660000000007</v>
      </c>
      <c r="P161" s="74">
        <v>9.9909689999999998</v>
      </c>
      <c r="Q161" s="74">
        <v>10.019382999999999</v>
      </c>
      <c r="R161" s="74">
        <v>9.9899690000000003</v>
      </c>
      <c r="S161" s="74">
        <v>9.993741</v>
      </c>
      <c r="T161" s="74">
        <v>9.8949809999999996</v>
      </c>
      <c r="U161" s="74">
        <v>9.9176389999999994</v>
      </c>
      <c r="V161" s="74">
        <v>9.8764470000000006</v>
      </c>
      <c r="W161" s="74">
        <v>10.014103</v>
      </c>
      <c r="X161" s="74">
        <v>10.015370000000001</v>
      </c>
      <c r="Y161" s="74">
        <v>10.188769000000001</v>
      </c>
      <c r="Z161" s="74">
        <v>10.250199</v>
      </c>
      <c r="AA161" s="74">
        <v>10.294119999999999</v>
      </c>
      <c r="AB161" s="74">
        <v>10.327329000000001</v>
      </c>
      <c r="AC161" s="74">
        <v>10.314897</v>
      </c>
      <c r="AD161" s="74">
        <v>10.378952</v>
      </c>
      <c r="AE161" s="74">
        <v>10.49638</v>
      </c>
      <c r="AF161" s="74">
        <v>10.52875</v>
      </c>
      <c r="AG161" s="74">
        <v>10.546099</v>
      </c>
      <c r="AH161" s="74">
        <v>10.623608000000001</v>
      </c>
      <c r="AI161" s="74">
        <v>10.82948</v>
      </c>
      <c r="AJ161" s="160">
        <v>7.0000000000000001E-3</v>
      </c>
    </row>
    <row r="162" spans="1:36" x14ac:dyDescent="0.35">
      <c r="A162" s="74" t="s">
        <v>1129</v>
      </c>
      <c r="B162" s="74" t="s">
        <v>1128</v>
      </c>
      <c r="C162" s="74" t="s">
        <v>1127</v>
      </c>
      <c r="D162" s="74" t="s">
        <v>1038</v>
      </c>
      <c r="F162" s="74">
        <v>1086.1076660000001</v>
      </c>
      <c r="G162" s="74">
        <v>1098.255371</v>
      </c>
      <c r="H162" s="74">
        <v>1128.6069339999999</v>
      </c>
      <c r="I162" s="74">
        <v>1140.874634</v>
      </c>
      <c r="J162" s="74">
        <v>1158.7626949999999</v>
      </c>
      <c r="K162" s="74">
        <v>1176.1188959999999</v>
      </c>
      <c r="L162" s="74">
        <v>1176.307129</v>
      </c>
      <c r="M162" s="74">
        <v>1166.080078</v>
      </c>
      <c r="N162" s="74">
        <v>1161.249268</v>
      </c>
      <c r="O162" s="74">
        <v>1152.4023440000001</v>
      </c>
      <c r="P162" s="74">
        <v>1104.472168</v>
      </c>
      <c r="Q162" s="74">
        <v>1092.1651609999999</v>
      </c>
      <c r="R162" s="74">
        <v>1078.6942140000001</v>
      </c>
      <c r="S162" s="74">
        <v>1070.5566409999999</v>
      </c>
      <c r="T162" s="74">
        <v>1063.3443600000001</v>
      </c>
      <c r="U162" s="74">
        <v>1061.527832</v>
      </c>
      <c r="V162" s="74">
        <v>1064.6523440000001</v>
      </c>
      <c r="W162" s="74">
        <v>1065.0756839999999</v>
      </c>
      <c r="X162" s="74">
        <v>1071.2219239999999</v>
      </c>
      <c r="Y162" s="74">
        <v>1078.2204589999999</v>
      </c>
      <c r="Z162" s="74">
        <v>1080.0146480000001</v>
      </c>
      <c r="AA162" s="74">
        <v>1081.421143</v>
      </c>
      <c r="AB162" s="74">
        <v>1083.112183</v>
      </c>
      <c r="AC162" s="74">
        <v>1083.3439940000001</v>
      </c>
      <c r="AD162" s="74">
        <v>1089.3652340000001</v>
      </c>
      <c r="AE162" s="74">
        <v>1094.240967</v>
      </c>
      <c r="AF162" s="74">
        <v>1094.9259030000001</v>
      </c>
      <c r="AG162" s="74">
        <v>1098.0517580000001</v>
      </c>
      <c r="AH162" s="74">
        <v>1104.8320309999999</v>
      </c>
      <c r="AI162" s="74">
        <v>1110.859375</v>
      </c>
      <c r="AJ162" s="160">
        <v>1E-3</v>
      </c>
    </row>
    <row r="163" spans="1:36" x14ac:dyDescent="0.35">
      <c r="A163" s="74" t="s">
        <v>1126</v>
      </c>
      <c r="C163" s="74" t="s">
        <v>1125</v>
      </c>
    </row>
    <row r="164" spans="1:36" x14ac:dyDescent="0.35">
      <c r="A164" s="74" t="s">
        <v>1124</v>
      </c>
      <c r="B164" s="74" t="s">
        <v>1123</v>
      </c>
      <c r="C164" s="74" t="s">
        <v>1122</v>
      </c>
      <c r="D164" s="74" t="s">
        <v>1038</v>
      </c>
      <c r="F164" s="74">
        <v>61.569755999999998</v>
      </c>
      <c r="G164" s="74">
        <v>62.398963999999999</v>
      </c>
      <c r="H164" s="74">
        <v>64.201644999999999</v>
      </c>
      <c r="I164" s="74">
        <v>65.005791000000002</v>
      </c>
      <c r="J164" s="74">
        <v>66.053505000000001</v>
      </c>
      <c r="K164" s="74">
        <v>67.085114000000004</v>
      </c>
      <c r="L164" s="74">
        <v>67.146957</v>
      </c>
      <c r="M164" s="74">
        <v>66.612915000000001</v>
      </c>
      <c r="N164" s="74">
        <v>66.385300000000001</v>
      </c>
      <c r="O164" s="74">
        <v>65.929443000000006</v>
      </c>
      <c r="P164" s="74">
        <v>63.435657999999997</v>
      </c>
      <c r="Q164" s="74">
        <v>62.775486000000001</v>
      </c>
      <c r="R164" s="74">
        <v>62.086387999999999</v>
      </c>
      <c r="S164" s="74">
        <v>61.666545999999997</v>
      </c>
      <c r="T164" s="74">
        <v>61.318427999999997</v>
      </c>
      <c r="U164" s="74">
        <v>61.271427000000003</v>
      </c>
      <c r="V164" s="74">
        <v>61.493586999999998</v>
      </c>
      <c r="W164" s="74">
        <v>61.582886000000002</v>
      </c>
      <c r="X164" s="74">
        <v>61.986217000000003</v>
      </c>
      <c r="Y164" s="74">
        <v>62.474162999999997</v>
      </c>
      <c r="Z164" s="74">
        <v>62.641948999999997</v>
      </c>
      <c r="AA164" s="74">
        <v>62.770919999999997</v>
      </c>
      <c r="AB164" s="74">
        <v>62.911526000000002</v>
      </c>
      <c r="AC164" s="74">
        <v>62.978588000000002</v>
      </c>
      <c r="AD164" s="74">
        <v>63.382976999999997</v>
      </c>
      <c r="AE164" s="74">
        <v>63.719334000000003</v>
      </c>
      <c r="AF164" s="74">
        <v>63.801288999999997</v>
      </c>
      <c r="AG164" s="74">
        <v>64.045035999999996</v>
      </c>
      <c r="AH164" s="74">
        <v>64.503035999999994</v>
      </c>
      <c r="AI164" s="74">
        <v>64.898674</v>
      </c>
      <c r="AJ164" s="160">
        <v>2E-3</v>
      </c>
    </row>
    <row r="165" spans="1:36" x14ac:dyDescent="0.35">
      <c r="A165" s="74" t="s">
        <v>134</v>
      </c>
      <c r="B165" s="74" t="s">
        <v>1121</v>
      </c>
      <c r="C165" s="74" t="s">
        <v>1120</v>
      </c>
      <c r="D165" s="74" t="s">
        <v>1038</v>
      </c>
      <c r="F165" s="74">
        <v>1.1443E-2</v>
      </c>
      <c r="G165" s="74">
        <v>1.1409000000000001E-2</v>
      </c>
      <c r="H165" s="74">
        <v>1.1408E-2</v>
      </c>
      <c r="I165" s="74">
        <v>1.1195E-2</v>
      </c>
      <c r="J165" s="74">
        <v>1.0957E-2</v>
      </c>
      <c r="K165" s="74">
        <v>1.0692E-2</v>
      </c>
      <c r="L165" s="74">
        <v>1.027E-2</v>
      </c>
      <c r="M165" s="74">
        <v>9.7610000000000006E-3</v>
      </c>
      <c r="N165" s="74">
        <v>9.306E-3</v>
      </c>
      <c r="O165" s="74">
        <v>8.8310000000000003E-3</v>
      </c>
      <c r="P165" s="74">
        <v>8.1639999999999994E-3</v>
      </c>
      <c r="Q165" s="74">
        <v>7.6829999999999997E-3</v>
      </c>
      <c r="R165" s="74">
        <v>7.2179999999999996E-3</v>
      </c>
      <c r="S165" s="74">
        <v>6.7730000000000004E-3</v>
      </c>
      <c r="T165" s="74">
        <v>6.3359999999999996E-3</v>
      </c>
      <c r="U165" s="74">
        <v>5.9319999999999998E-3</v>
      </c>
      <c r="V165" s="74">
        <v>5.5500000000000002E-3</v>
      </c>
      <c r="W165" s="74">
        <v>5.1529999999999996E-3</v>
      </c>
      <c r="X165" s="74">
        <v>4.7699999999999999E-3</v>
      </c>
      <c r="Y165" s="74">
        <v>4.3870000000000003E-3</v>
      </c>
      <c r="Z165" s="74">
        <v>3.9719999999999998E-3</v>
      </c>
      <c r="AA165" s="74">
        <v>3.5479999999999999E-3</v>
      </c>
      <c r="AB165" s="74">
        <v>3.124E-3</v>
      </c>
      <c r="AC165" s="74">
        <v>2.689E-3</v>
      </c>
      <c r="AD165" s="74">
        <v>2.2620000000000001E-3</v>
      </c>
      <c r="AE165" s="74">
        <v>1.8240000000000001E-3</v>
      </c>
      <c r="AF165" s="74">
        <v>1.3730000000000001E-3</v>
      </c>
      <c r="AG165" s="74">
        <v>9.2000000000000003E-4</v>
      </c>
      <c r="AH165" s="74">
        <v>4.64E-4</v>
      </c>
      <c r="AI165" s="74">
        <v>0</v>
      </c>
      <c r="AJ165" s="74" t="s">
        <v>12</v>
      </c>
    </row>
    <row r="166" spans="1:36" x14ac:dyDescent="0.35">
      <c r="A166" s="74" t="s">
        <v>121</v>
      </c>
      <c r="B166" s="74" t="s">
        <v>1119</v>
      </c>
      <c r="C166" s="74" t="s">
        <v>1118</v>
      </c>
      <c r="D166" s="74" t="s">
        <v>1038</v>
      </c>
      <c r="F166" s="74">
        <v>4.3965180000000004</v>
      </c>
      <c r="G166" s="74">
        <v>5.4621110000000002</v>
      </c>
      <c r="H166" s="74">
        <v>6.6644819999999996</v>
      </c>
      <c r="I166" s="74">
        <v>8.0477480000000003</v>
      </c>
      <c r="J166" s="74">
        <v>8.7068899999999996</v>
      </c>
      <c r="K166" s="74">
        <v>9.2144100000000009</v>
      </c>
      <c r="L166" s="74">
        <v>9.7110959999999995</v>
      </c>
      <c r="M166" s="74">
        <v>10.137577</v>
      </c>
      <c r="N166" s="74">
        <v>10.702759</v>
      </c>
      <c r="O166" s="74">
        <v>11.309726</v>
      </c>
      <c r="P166" s="74">
        <v>11.974325</v>
      </c>
      <c r="Q166" s="74">
        <v>12.221185999999999</v>
      </c>
      <c r="R166" s="74">
        <v>12.617668</v>
      </c>
      <c r="S166" s="74">
        <v>12.89963</v>
      </c>
      <c r="T166" s="74">
        <v>13.194293</v>
      </c>
      <c r="U166" s="74">
        <v>13.529311999999999</v>
      </c>
      <c r="V166" s="74">
        <v>13.890522000000001</v>
      </c>
      <c r="W166" s="74">
        <v>14.241642000000001</v>
      </c>
      <c r="X166" s="74">
        <v>14.593168</v>
      </c>
      <c r="Y166" s="74">
        <v>15.001896</v>
      </c>
      <c r="Z166" s="74">
        <v>15.297397999999999</v>
      </c>
      <c r="AA166" s="74">
        <v>15.551289000000001</v>
      </c>
      <c r="AB166" s="74">
        <v>15.856538</v>
      </c>
      <c r="AC166" s="74">
        <v>16.1264</v>
      </c>
      <c r="AD166" s="74">
        <v>16.479514999999999</v>
      </c>
      <c r="AE166" s="74">
        <v>16.837340999999999</v>
      </c>
      <c r="AF166" s="74">
        <v>17.117688999999999</v>
      </c>
      <c r="AG166" s="74">
        <v>17.445239999999998</v>
      </c>
      <c r="AH166" s="74">
        <v>17.860357</v>
      </c>
      <c r="AI166" s="74">
        <v>18.300308000000001</v>
      </c>
      <c r="AJ166" s="160">
        <v>0.05</v>
      </c>
    </row>
    <row r="167" spans="1:36" x14ac:dyDescent="0.35">
      <c r="A167" s="74" t="s">
        <v>545</v>
      </c>
      <c r="B167" s="74" t="s">
        <v>1117</v>
      </c>
      <c r="C167" s="74" t="s">
        <v>1116</v>
      </c>
      <c r="D167" s="74" t="s">
        <v>1038</v>
      </c>
      <c r="F167" s="74">
        <v>20.582203</v>
      </c>
      <c r="G167" s="74">
        <v>20.89123</v>
      </c>
      <c r="H167" s="74">
        <v>25.854326</v>
      </c>
      <c r="I167" s="74">
        <v>32.162211999999997</v>
      </c>
      <c r="J167" s="74">
        <v>35.710254999999997</v>
      </c>
      <c r="K167" s="74">
        <v>38.306666999999997</v>
      </c>
      <c r="L167" s="74">
        <v>40.469234</v>
      </c>
      <c r="M167" s="74">
        <v>42.228789999999996</v>
      </c>
      <c r="N167" s="74">
        <v>44.675078999999997</v>
      </c>
      <c r="O167" s="74">
        <v>47.050860999999998</v>
      </c>
      <c r="P167" s="74">
        <v>53.879199999999997</v>
      </c>
      <c r="Q167" s="74">
        <v>57.522751</v>
      </c>
      <c r="R167" s="74">
        <v>61.970984999999999</v>
      </c>
      <c r="S167" s="74">
        <v>65.439339000000004</v>
      </c>
      <c r="T167" s="74">
        <v>68.866089000000002</v>
      </c>
      <c r="U167" s="74">
        <v>72.606026</v>
      </c>
      <c r="V167" s="74">
        <v>76.522316000000004</v>
      </c>
      <c r="W167" s="74">
        <v>80.851867999999996</v>
      </c>
      <c r="X167" s="74">
        <v>84.833411999999996</v>
      </c>
      <c r="Y167" s="74">
        <v>89.673293999999999</v>
      </c>
      <c r="Z167" s="74">
        <v>93.662826999999993</v>
      </c>
      <c r="AA167" s="74">
        <v>97.052245999999997</v>
      </c>
      <c r="AB167" s="74">
        <v>101.19455000000001</v>
      </c>
      <c r="AC167" s="74">
        <v>104.94471</v>
      </c>
      <c r="AD167" s="74">
        <v>108.918953</v>
      </c>
      <c r="AE167" s="74">
        <v>112.952629</v>
      </c>
      <c r="AF167" s="74">
        <v>115.750061</v>
      </c>
      <c r="AG167" s="74">
        <v>118.317154</v>
      </c>
      <c r="AH167" s="74">
        <v>121.375175</v>
      </c>
      <c r="AI167" s="74">
        <v>124.63401</v>
      </c>
      <c r="AJ167" s="160">
        <v>6.4000000000000001E-2</v>
      </c>
    </row>
    <row r="168" spans="1:36" x14ac:dyDescent="0.35">
      <c r="A168" s="74" t="s">
        <v>1115</v>
      </c>
      <c r="B168" s="74" t="s">
        <v>1114</v>
      </c>
      <c r="C168" s="74" t="s">
        <v>1113</v>
      </c>
      <c r="D168" s="74" t="s">
        <v>1038</v>
      </c>
      <c r="F168" s="74">
        <v>10.869331000000001</v>
      </c>
      <c r="G168" s="74">
        <v>9.4241910000000004</v>
      </c>
      <c r="H168" s="74">
        <v>9.2803789999999999</v>
      </c>
      <c r="I168" s="74">
        <v>9.3416340000000009</v>
      </c>
      <c r="J168" s="74">
        <v>9.288729</v>
      </c>
      <c r="K168" s="74">
        <v>9.2996359999999996</v>
      </c>
      <c r="L168" s="74">
        <v>9.3025579999999994</v>
      </c>
      <c r="M168" s="74">
        <v>9.3038989999999995</v>
      </c>
      <c r="N168" s="74">
        <v>9.4069179999999992</v>
      </c>
      <c r="O168" s="74">
        <v>9.6102019999999992</v>
      </c>
      <c r="P168" s="74">
        <v>10.101037</v>
      </c>
      <c r="Q168" s="74">
        <v>10.385539</v>
      </c>
      <c r="R168" s="74">
        <v>10.799319000000001</v>
      </c>
      <c r="S168" s="74">
        <v>11.130931</v>
      </c>
      <c r="T168" s="74">
        <v>11.436602000000001</v>
      </c>
      <c r="U168" s="74">
        <v>11.792935</v>
      </c>
      <c r="V168" s="74">
        <v>12.178732999999999</v>
      </c>
      <c r="W168" s="74">
        <v>12.576775</v>
      </c>
      <c r="X168" s="74">
        <v>12.965393000000001</v>
      </c>
      <c r="Y168" s="74">
        <v>13.421402</v>
      </c>
      <c r="Z168" s="74">
        <v>13.73631</v>
      </c>
      <c r="AA168" s="74">
        <v>13.996442999999999</v>
      </c>
      <c r="AB168" s="74">
        <v>14.301352</v>
      </c>
      <c r="AC168" s="74">
        <v>14.57197</v>
      </c>
      <c r="AD168" s="74">
        <v>14.893776000000001</v>
      </c>
      <c r="AE168" s="74">
        <v>15.210190000000001</v>
      </c>
      <c r="AF168" s="74">
        <v>15.410399</v>
      </c>
      <c r="AG168" s="74">
        <v>15.615111000000001</v>
      </c>
      <c r="AH168" s="74">
        <v>15.874045000000001</v>
      </c>
      <c r="AI168" s="74">
        <v>16.134577</v>
      </c>
      <c r="AJ168" s="160">
        <v>1.4E-2</v>
      </c>
    </row>
    <row r="169" spans="1:36" x14ac:dyDescent="0.35">
      <c r="A169" s="74" t="s">
        <v>1112</v>
      </c>
      <c r="B169" s="74" t="s">
        <v>1111</v>
      </c>
      <c r="C169" s="74" t="s">
        <v>1110</v>
      </c>
      <c r="D169" s="74" t="s">
        <v>1038</v>
      </c>
      <c r="F169" s="74">
        <v>4.5613060000000001</v>
      </c>
      <c r="G169" s="74">
        <v>22.866707000000002</v>
      </c>
      <c r="H169" s="74">
        <v>28.889965</v>
      </c>
      <c r="I169" s="74">
        <v>30.139986</v>
      </c>
      <c r="J169" s="74">
        <v>30.286277999999999</v>
      </c>
      <c r="K169" s="74">
        <v>30.271470999999998</v>
      </c>
      <c r="L169" s="74">
        <v>30.169018000000001</v>
      </c>
      <c r="M169" s="74">
        <v>30.027692999999999</v>
      </c>
      <c r="N169" s="74">
        <v>30.213895999999998</v>
      </c>
      <c r="O169" s="74">
        <v>30.693746999999998</v>
      </c>
      <c r="P169" s="74">
        <v>32.190331</v>
      </c>
      <c r="Q169" s="74">
        <v>33.305107</v>
      </c>
      <c r="R169" s="74">
        <v>34.316707999999998</v>
      </c>
      <c r="S169" s="74">
        <v>35.140236000000002</v>
      </c>
      <c r="T169" s="74">
        <v>35.856327</v>
      </c>
      <c r="U169" s="74">
        <v>36.741058000000002</v>
      </c>
      <c r="V169" s="74">
        <v>37.744594999999997</v>
      </c>
      <c r="W169" s="74">
        <v>38.764957000000003</v>
      </c>
      <c r="X169" s="74">
        <v>39.801380000000002</v>
      </c>
      <c r="Y169" s="74">
        <v>41.027267000000002</v>
      </c>
      <c r="Z169" s="74">
        <v>41.918838999999998</v>
      </c>
      <c r="AA169" s="74">
        <v>42.645515000000003</v>
      </c>
      <c r="AB169" s="74">
        <v>43.512970000000003</v>
      </c>
      <c r="AC169" s="74">
        <v>44.302078000000002</v>
      </c>
      <c r="AD169" s="74">
        <v>45.245215999999999</v>
      </c>
      <c r="AE169" s="74">
        <v>46.155814999999997</v>
      </c>
      <c r="AF169" s="74">
        <v>46.740726000000002</v>
      </c>
      <c r="AG169" s="74">
        <v>47.322482999999998</v>
      </c>
      <c r="AH169" s="74">
        <v>48.059254000000003</v>
      </c>
      <c r="AI169" s="74">
        <v>48.821776999999997</v>
      </c>
      <c r="AJ169" s="160">
        <v>8.5000000000000006E-2</v>
      </c>
    </row>
    <row r="170" spans="1:36" x14ac:dyDescent="0.35">
      <c r="A170" s="74" t="s">
        <v>1109</v>
      </c>
      <c r="B170" s="74" t="s">
        <v>1108</v>
      </c>
      <c r="C170" s="74" t="s">
        <v>1107</v>
      </c>
      <c r="D170" s="74" t="s">
        <v>1038</v>
      </c>
      <c r="F170" s="74">
        <v>0</v>
      </c>
      <c r="G170" s="74">
        <v>0</v>
      </c>
      <c r="H170" s="74">
        <v>0</v>
      </c>
      <c r="I170" s="74">
        <v>0</v>
      </c>
      <c r="J170" s="74">
        <v>0</v>
      </c>
      <c r="K170" s="74">
        <v>0</v>
      </c>
      <c r="L170" s="74">
        <v>0</v>
      </c>
      <c r="M170" s="74">
        <v>0</v>
      </c>
      <c r="N170" s="74">
        <v>0</v>
      </c>
      <c r="O170" s="74">
        <v>0</v>
      </c>
      <c r="P170" s="74">
        <v>0</v>
      </c>
      <c r="Q170" s="74">
        <v>0</v>
      </c>
      <c r="R170" s="74">
        <v>0</v>
      </c>
      <c r="S170" s="74">
        <v>0</v>
      </c>
      <c r="T170" s="74">
        <v>0</v>
      </c>
      <c r="U170" s="74">
        <v>0</v>
      </c>
      <c r="V170" s="74">
        <v>0</v>
      </c>
      <c r="W170" s="74">
        <v>0</v>
      </c>
      <c r="X170" s="74">
        <v>0</v>
      </c>
      <c r="Y170" s="74">
        <v>0</v>
      </c>
      <c r="Z170" s="74">
        <v>0</v>
      </c>
      <c r="AA170" s="74">
        <v>0</v>
      </c>
      <c r="AB170" s="74">
        <v>0</v>
      </c>
      <c r="AC170" s="74">
        <v>0</v>
      </c>
      <c r="AD170" s="74">
        <v>0</v>
      </c>
      <c r="AE170" s="74">
        <v>0</v>
      </c>
      <c r="AF170" s="74">
        <v>0</v>
      </c>
      <c r="AG170" s="74">
        <v>0</v>
      </c>
      <c r="AH170" s="74">
        <v>0</v>
      </c>
      <c r="AI170" s="74">
        <v>0</v>
      </c>
      <c r="AJ170" s="74" t="s">
        <v>12</v>
      </c>
    </row>
    <row r="171" spans="1:36" x14ac:dyDescent="0.35">
      <c r="A171" s="74" t="s">
        <v>1106</v>
      </c>
      <c r="B171" s="74" t="s">
        <v>1105</v>
      </c>
      <c r="C171" s="74" t="s">
        <v>1104</v>
      </c>
      <c r="D171" s="74" t="s">
        <v>1038</v>
      </c>
      <c r="F171" s="74">
        <v>64.351562000000001</v>
      </c>
      <c r="G171" s="74">
        <v>76.343704000000002</v>
      </c>
      <c r="H171" s="74">
        <v>83.677406000000005</v>
      </c>
      <c r="I171" s="74">
        <v>86.766829999999999</v>
      </c>
      <c r="J171" s="74">
        <v>88.447577999999993</v>
      </c>
      <c r="K171" s="74">
        <v>89.983749000000003</v>
      </c>
      <c r="L171" s="74">
        <v>90.475303999999994</v>
      </c>
      <c r="M171" s="74">
        <v>90.333916000000002</v>
      </c>
      <c r="N171" s="74">
        <v>90.615607999999995</v>
      </c>
      <c r="O171" s="74">
        <v>91.118049999999997</v>
      </c>
      <c r="P171" s="74">
        <v>92.735596000000001</v>
      </c>
      <c r="Q171" s="74">
        <v>93.126434000000003</v>
      </c>
      <c r="R171" s="74">
        <v>93.842635999999999</v>
      </c>
      <c r="S171" s="74">
        <v>94.218857</v>
      </c>
      <c r="T171" s="74">
        <v>94.469916999999995</v>
      </c>
      <c r="U171" s="74">
        <v>95.252257999999998</v>
      </c>
      <c r="V171" s="74">
        <v>96.404221000000007</v>
      </c>
      <c r="W171" s="74">
        <v>97.619956999999999</v>
      </c>
      <c r="X171" s="74">
        <v>98.960578999999996</v>
      </c>
      <c r="Y171" s="74">
        <v>100.75005299999999</v>
      </c>
      <c r="Z171" s="74">
        <v>101.801575</v>
      </c>
      <c r="AA171" s="74">
        <v>102.610016</v>
      </c>
      <c r="AB171" s="74">
        <v>103.711067</v>
      </c>
      <c r="AC171" s="74">
        <v>104.61917099999999</v>
      </c>
      <c r="AD171" s="74">
        <v>105.944016</v>
      </c>
      <c r="AE171" s="74">
        <v>107.227242</v>
      </c>
      <c r="AF171" s="74">
        <v>107.79188499999999</v>
      </c>
      <c r="AG171" s="74">
        <v>108.441193</v>
      </c>
      <c r="AH171" s="74">
        <v>109.49123400000001</v>
      </c>
      <c r="AI171" s="74">
        <v>110.56321</v>
      </c>
      <c r="AJ171" s="160">
        <v>1.9E-2</v>
      </c>
    </row>
    <row r="172" spans="1:36" x14ac:dyDescent="0.35">
      <c r="A172" s="74" t="s">
        <v>1103</v>
      </c>
      <c r="B172" s="74" t="s">
        <v>1102</v>
      </c>
      <c r="C172" s="74" t="s">
        <v>1101</v>
      </c>
      <c r="D172" s="74" t="s">
        <v>1038</v>
      </c>
      <c r="F172" s="74">
        <v>7.4269999999999996E-3</v>
      </c>
      <c r="G172" s="74">
        <v>4.3969999999999999E-3</v>
      </c>
      <c r="H172" s="74">
        <v>3.6329999999999999E-3</v>
      </c>
      <c r="I172" s="74">
        <v>3.761E-3</v>
      </c>
      <c r="J172" s="74">
        <v>3.7109999999999999E-3</v>
      </c>
      <c r="K172" s="74">
        <v>3.7299999999999998E-3</v>
      </c>
      <c r="L172" s="74">
        <v>3.728E-3</v>
      </c>
      <c r="M172" s="74">
        <v>3.7169999999999998E-3</v>
      </c>
      <c r="N172" s="74">
        <v>3.6289999999999998E-3</v>
      </c>
      <c r="O172" s="74">
        <v>3.6310000000000001E-3</v>
      </c>
      <c r="P172" s="74">
        <v>2.3999999999999998E-3</v>
      </c>
      <c r="Q172" s="74">
        <v>2.31E-3</v>
      </c>
      <c r="R172" s="74">
        <v>2.111E-3</v>
      </c>
      <c r="S172" s="74">
        <v>2.039E-3</v>
      </c>
      <c r="T172" s="74">
        <v>1.9819999999999998E-3</v>
      </c>
      <c r="U172" s="74">
        <v>1.931E-3</v>
      </c>
      <c r="V172" s="74">
        <v>1.903E-3</v>
      </c>
      <c r="W172" s="74">
        <v>1.895E-3</v>
      </c>
      <c r="X172" s="74">
        <v>1.8370000000000001E-3</v>
      </c>
      <c r="Y172" s="74">
        <v>1.8389999999999999E-3</v>
      </c>
      <c r="Z172" s="74">
        <v>1.8129999999999999E-3</v>
      </c>
      <c r="AA172" s="74">
        <v>1.8309999999999999E-3</v>
      </c>
      <c r="AB172" s="74">
        <v>1.8879999999999999E-3</v>
      </c>
      <c r="AC172" s="74">
        <v>1.934E-3</v>
      </c>
      <c r="AD172" s="74">
        <v>1.9589999999999998E-3</v>
      </c>
      <c r="AE172" s="74">
        <v>2.0079999999999998E-3</v>
      </c>
      <c r="AF172" s="74">
        <v>2.0279999999999999E-3</v>
      </c>
      <c r="AG172" s="74">
        <v>2.0560000000000001E-3</v>
      </c>
      <c r="AH172" s="74">
        <v>2.081E-3</v>
      </c>
      <c r="AI172" s="74">
        <v>2.111E-3</v>
      </c>
      <c r="AJ172" s="160">
        <v>-4.2000000000000003E-2</v>
      </c>
    </row>
    <row r="173" spans="1:36" x14ac:dyDescent="0.35">
      <c r="A173" s="74" t="s">
        <v>1100</v>
      </c>
      <c r="B173" s="74" t="s">
        <v>1099</v>
      </c>
      <c r="C173" s="74" t="s">
        <v>1098</v>
      </c>
      <c r="D173" s="74" t="s">
        <v>1038</v>
      </c>
      <c r="F173" s="74">
        <v>2.6380000000000002E-3</v>
      </c>
      <c r="G173" s="74">
        <v>2.9039999999999999E-3</v>
      </c>
      <c r="H173" s="74">
        <v>2.836E-3</v>
      </c>
      <c r="I173" s="74">
        <v>3.117E-3</v>
      </c>
      <c r="J173" s="74">
        <v>3.228E-3</v>
      </c>
      <c r="K173" s="74">
        <v>3.3999999999999998E-3</v>
      </c>
      <c r="L173" s="74">
        <v>3.5249999999999999E-3</v>
      </c>
      <c r="M173" s="74">
        <v>3.5980000000000001E-3</v>
      </c>
      <c r="N173" s="74">
        <v>3.6319999999999998E-3</v>
      </c>
      <c r="O173" s="74">
        <v>3.784E-3</v>
      </c>
      <c r="P173" s="74">
        <v>2.9030000000000002E-3</v>
      </c>
      <c r="Q173" s="74">
        <v>2.9299999999999999E-3</v>
      </c>
      <c r="R173" s="74">
        <v>2.8349999999999998E-3</v>
      </c>
      <c r="S173" s="74">
        <v>2.8700000000000002E-3</v>
      </c>
      <c r="T173" s="74">
        <v>2.9250000000000001E-3</v>
      </c>
      <c r="U173" s="74">
        <v>2.98E-3</v>
      </c>
      <c r="V173" s="74">
        <v>3.0490000000000001E-3</v>
      </c>
      <c r="W173" s="74">
        <v>3.1800000000000001E-3</v>
      </c>
      <c r="X173" s="74">
        <v>3.2209999999999999E-3</v>
      </c>
      <c r="Y173" s="74">
        <v>3.369E-3</v>
      </c>
      <c r="Z173" s="74">
        <v>3.441E-3</v>
      </c>
      <c r="AA173" s="74">
        <v>3.5130000000000001E-3</v>
      </c>
      <c r="AB173" s="74">
        <v>3.669E-3</v>
      </c>
      <c r="AC173" s="74">
        <v>3.7910000000000001E-3</v>
      </c>
      <c r="AD173" s="74">
        <v>3.8920000000000001E-3</v>
      </c>
      <c r="AE173" s="74">
        <v>4.0390000000000001E-3</v>
      </c>
      <c r="AF173" s="74">
        <v>4.1029999999999999E-3</v>
      </c>
      <c r="AG173" s="74">
        <v>4.1710000000000002E-3</v>
      </c>
      <c r="AH173" s="74">
        <v>4.2560000000000002E-3</v>
      </c>
      <c r="AI173" s="74">
        <v>4.3689999999999996E-3</v>
      </c>
      <c r="AJ173" s="160">
        <v>1.7999999999999999E-2</v>
      </c>
    </row>
    <row r="174" spans="1:36" x14ac:dyDescent="0.35">
      <c r="A174" s="74" t="s">
        <v>1097</v>
      </c>
      <c r="B174" s="74" t="s">
        <v>1096</v>
      </c>
      <c r="C174" s="74" t="s">
        <v>1095</v>
      </c>
      <c r="D174" s="74" t="s">
        <v>1038</v>
      </c>
      <c r="F174" s="74">
        <v>8.2414000000000001E-2</v>
      </c>
      <c r="G174" s="74">
        <v>0.12077400000000001</v>
      </c>
      <c r="H174" s="74">
        <v>0.13164699999999999</v>
      </c>
      <c r="I174" s="74">
        <v>0.13900299999999999</v>
      </c>
      <c r="J174" s="74">
        <v>0.14557899999999999</v>
      </c>
      <c r="K174" s="74">
        <v>0.15341099999999999</v>
      </c>
      <c r="L174" s="74">
        <v>0.15775600000000001</v>
      </c>
      <c r="M174" s="74">
        <v>0.158972</v>
      </c>
      <c r="N174" s="74">
        <v>0.16150900000000001</v>
      </c>
      <c r="O174" s="74">
        <v>0.165298</v>
      </c>
      <c r="P174" s="74">
        <v>0.172712</v>
      </c>
      <c r="Q174" s="74">
        <v>0.17475599999999999</v>
      </c>
      <c r="R174" s="74">
        <v>0.17798600000000001</v>
      </c>
      <c r="S174" s="74">
        <v>0.18188099999999999</v>
      </c>
      <c r="T174" s="74">
        <v>0.185587</v>
      </c>
      <c r="U174" s="74">
        <v>0.190806</v>
      </c>
      <c r="V174" s="74">
        <v>0.19650400000000001</v>
      </c>
      <c r="W174" s="74">
        <v>0.20388800000000001</v>
      </c>
      <c r="X174" s="74">
        <v>0.210231</v>
      </c>
      <c r="Y174" s="74">
        <v>0.21860099999999999</v>
      </c>
      <c r="Z174" s="74">
        <v>0.22625999999999999</v>
      </c>
      <c r="AA174" s="74">
        <v>0.23455799999999999</v>
      </c>
      <c r="AB174" s="74">
        <v>0.244669</v>
      </c>
      <c r="AC174" s="74">
        <v>0.25387999999999999</v>
      </c>
      <c r="AD174" s="74">
        <v>0.26555299999999998</v>
      </c>
      <c r="AE174" s="74">
        <v>0.27809400000000001</v>
      </c>
      <c r="AF174" s="74">
        <v>0.28822399999999998</v>
      </c>
      <c r="AG174" s="74">
        <v>0.298236</v>
      </c>
      <c r="AH174" s="74">
        <v>0.31171599999999999</v>
      </c>
      <c r="AI174" s="74">
        <v>0.32724399999999998</v>
      </c>
      <c r="AJ174" s="160">
        <v>4.9000000000000002E-2</v>
      </c>
    </row>
    <row r="175" spans="1:36" x14ac:dyDescent="0.35">
      <c r="A175" s="74" t="s">
        <v>1094</v>
      </c>
      <c r="B175" s="74" t="s">
        <v>1093</v>
      </c>
      <c r="C175" s="74" t="s">
        <v>1092</v>
      </c>
      <c r="D175" s="74" t="s">
        <v>1038</v>
      </c>
      <c r="F175" s="74">
        <v>1.127E-3</v>
      </c>
      <c r="G175" s="74">
        <v>1.1559999999999999E-3</v>
      </c>
      <c r="H175" s="74">
        <v>1.286E-3</v>
      </c>
      <c r="I175" s="74">
        <v>1.3760000000000001E-3</v>
      </c>
      <c r="J175" s="74">
        <v>1.4159999999999999E-3</v>
      </c>
      <c r="K175" s="74">
        <v>1.4840000000000001E-3</v>
      </c>
      <c r="L175" s="74">
        <v>1.4920000000000001E-3</v>
      </c>
      <c r="M175" s="74">
        <v>1.4469999999999999E-3</v>
      </c>
      <c r="N175" s="74">
        <v>1.4319999999999999E-3</v>
      </c>
      <c r="O175" s="74">
        <v>1.4580000000000001E-3</v>
      </c>
      <c r="P175" s="74">
        <v>1.6720000000000001E-3</v>
      </c>
      <c r="Q175" s="74">
        <v>1.652E-3</v>
      </c>
      <c r="R175" s="74">
        <v>1.6739999999999999E-3</v>
      </c>
      <c r="S175" s="74">
        <v>1.678E-3</v>
      </c>
      <c r="T175" s="74">
        <v>1.6869999999999999E-3</v>
      </c>
      <c r="U175" s="74">
        <v>1.6999999999999999E-3</v>
      </c>
      <c r="V175" s="74">
        <v>1.712E-3</v>
      </c>
      <c r="W175" s="74">
        <v>1.7750000000000001E-3</v>
      </c>
      <c r="X175" s="74">
        <v>1.7819999999999999E-3</v>
      </c>
      <c r="Y175" s="74">
        <v>1.8289999999999999E-3</v>
      </c>
      <c r="Z175" s="74">
        <v>1.8580000000000001E-3</v>
      </c>
      <c r="AA175" s="74">
        <v>1.895E-3</v>
      </c>
      <c r="AB175" s="74">
        <v>1.9599999999999999E-3</v>
      </c>
      <c r="AC175" s="74">
        <v>2.003E-3</v>
      </c>
      <c r="AD175" s="74">
        <v>2.0720000000000001E-3</v>
      </c>
      <c r="AE175" s="74">
        <v>2.1519999999999998E-3</v>
      </c>
      <c r="AF175" s="74">
        <v>2.1840000000000002E-3</v>
      </c>
      <c r="AG175" s="74">
        <v>2.1909999999999998E-3</v>
      </c>
      <c r="AH175" s="74">
        <v>2.2460000000000002E-3</v>
      </c>
      <c r="AI175" s="74">
        <v>2.3240000000000001E-3</v>
      </c>
      <c r="AJ175" s="160">
        <v>2.5000000000000001E-2</v>
      </c>
    </row>
    <row r="176" spans="1:36" x14ac:dyDescent="0.35">
      <c r="A176" s="74" t="s">
        <v>82</v>
      </c>
      <c r="B176" s="74" t="s">
        <v>1091</v>
      </c>
      <c r="C176" s="74" t="s">
        <v>1090</v>
      </c>
      <c r="D176" s="74" t="s">
        <v>1038</v>
      </c>
      <c r="F176" s="74">
        <v>0</v>
      </c>
      <c r="G176" s="74">
        <v>0</v>
      </c>
      <c r="H176" s="74">
        <v>0</v>
      </c>
      <c r="I176" s="74">
        <v>0</v>
      </c>
      <c r="J176" s="74">
        <v>0</v>
      </c>
      <c r="K176" s="74">
        <v>0</v>
      </c>
      <c r="L176" s="74">
        <v>0</v>
      </c>
      <c r="M176" s="74">
        <v>0</v>
      </c>
      <c r="N176" s="74">
        <v>0</v>
      </c>
      <c r="O176" s="74">
        <v>0</v>
      </c>
      <c r="P176" s="74">
        <v>0</v>
      </c>
      <c r="Q176" s="74">
        <v>0</v>
      </c>
      <c r="R176" s="74">
        <v>0</v>
      </c>
      <c r="S176" s="74">
        <v>0</v>
      </c>
      <c r="T176" s="74">
        <v>0</v>
      </c>
      <c r="U176" s="74">
        <v>0</v>
      </c>
      <c r="V176" s="74">
        <v>0</v>
      </c>
      <c r="W176" s="74">
        <v>0</v>
      </c>
      <c r="X176" s="74">
        <v>0</v>
      </c>
      <c r="Y176" s="74">
        <v>0</v>
      </c>
      <c r="Z176" s="74">
        <v>0</v>
      </c>
      <c r="AA176" s="74">
        <v>0</v>
      </c>
      <c r="AB176" s="74">
        <v>0</v>
      </c>
      <c r="AC176" s="74">
        <v>0</v>
      </c>
      <c r="AD176" s="74">
        <v>0</v>
      </c>
      <c r="AE176" s="74">
        <v>0</v>
      </c>
      <c r="AF176" s="74">
        <v>0</v>
      </c>
      <c r="AG176" s="74">
        <v>0</v>
      </c>
      <c r="AH176" s="74">
        <v>0</v>
      </c>
      <c r="AI176" s="74">
        <v>0</v>
      </c>
      <c r="AJ176" s="74" t="s">
        <v>12</v>
      </c>
    </row>
    <row r="177" spans="1:36" x14ac:dyDescent="0.35">
      <c r="A177" s="74" t="s">
        <v>69</v>
      </c>
      <c r="B177" s="74" t="s">
        <v>1089</v>
      </c>
      <c r="C177" s="74" t="s">
        <v>1088</v>
      </c>
      <c r="D177" s="74" t="s">
        <v>1038</v>
      </c>
      <c r="F177" s="74">
        <v>1.1E-4</v>
      </c>
      <c r="G177" s="74">
        <v>5.7799999999999995E-4</v>
      </c>
      <c r="H177" s="74">
        <v>1.1000000000000001E-3</v>
      </c>
      <c r="I177" s="74">
        <v>1.6670000000000001E-3</v>
      </c>
      <c r="J177" s="74">
        <v>2.5609999999999999E-3</v>
      </c>
      <c r="K177" s="74">
        <v>3.3219999999999999E-3</v>
      </c>
      <c r="L177" s="74">
        <v>4.1149999999999997E-3</v>
      </c>
      <c r="M177" s="74">
        <v>4.9459999999999999E-3</v>
      </c>
      <c r="N177" s="74">
        <v>5.8770000000000003E-3</v>
      </c>
      <c r="O177" s="74">
        <v>6.9049999999999997E-3</v>
      </c>
      <c r="P177" s="74">
        <v>8.1069999999999996E-3</v>
      </c>
      <c r="Q177" s="74">
        <v>9.2700000000000005E-3</v>
      </c>
      <c r="R177" s="74">
        <v>1.0602E-2</v>
      </c>
      <c r="S177" s="74">
        <v>1.2005999999999999E-2</v>
      </c>
      <c r="T177" s="74">
        <v>1.3535E-2</v>
      </c>
      <c r="U177" s="74">
        <v>1.5266999999999999E-2</v>
      </c>
      <c r="V177" s="74">
        <v>1.7211000000000001E-2</v>
      </c>
      <c r="W177" s="74">
        <v>1.9345999999999999E-2</v>
      </c>
      <c r="X177" s="74">
        <v>2.1694000000000001E-2</v>
      </c>
      <c r="Y177" s="74">
        <v>2.4389999999999998E-2</v>
      </c>
      <c r="Z177" s="74">
        <v>2.7073E-2</v>
      </c>
      <c r="AA177" s="74">
        <v>2.9829999999999999E-2</v>
      </c>
      <c r="AB177" s="74">
        <v>3.2881000000000001E-2</v>
      </c>
      <c r="AC177" s="74">
        <v>3.6262999999999997E-2</v>
      </c>
      <c r="AD177" s="74">
        <v>3.9988999999999997E-2</v>
      </c>
      <c r="AE177" s="74">
        <v>4.3936000000000003E-2</v>
      </c>
      <c r="AF177" s="74">
        <v>4.7681000000000001E-2</v>
      </c>
      <c r="AG177" s="74">
        <v>5.1461E-2</v>
      </c>
      <c r="AH177" s="74">
        <v>5.5553999999999999E-2</v>
      </c>
      <c r="AI177" s="74">
        <v>5.9777999999999998E-2</v>
      </c>
      <c r="AJ177" s="160">
        <v>0.24299999999999999</v>
      </c>
    </row>
    <row r="178" spans="1:36" x14ac:dyDescent="0.35">
      <c r="A178" s="74" t="s">
        <v>1087</v>
      </c>
      <c r="B178" s="74" t="s">
        <v>1086</v>
      </c>
      <c r="C178" s="74" t="s">
        <v>1085</v>
      </c>
      <c r="D178" s="74" t="s">
        <v>1038</v>
      </c>
      <c r="F178" s="74">
        <v>166.43583699999999</v>
      </c>
      <c r="G178" s="74">
        <v>197.528122</v>
      </c>
      <c r="H178" s="74">
        <v>218.72010800000001</v>
      </c>
      <c r="I178" s="74">
        <v>231.624313</v>
      </c>
      <c r="J178" s="74">
        <v>238.660706</v>
      </c>
      <c r="K178" s="74">
        <v>244.33708200000001</v>
      </c>
      <c r="L178" s="74">
        <v>247.45507799999999</v>
      </c>
      <c r="M178" s="74">
        <v>248.82723999999999</v>
      </c>
      <c r="N178" s="74">
        <v>252.184967</v>
      </c>
      <c r="O178" s="74">
        <v>255.90193199999999</v>
      </c>
      <c r="P178" s="74">
        <v>264.51211499999999</v>
      </c>
      <c r="Q178" s="74">
        <v>269.53509500000001</v>
      </c>
      <c r="R178" s="74">
        <v>275.83609000000001</v>
      </c>
      <c r="S178" s="74">
        <v>280.70275900000001</v>
      </c>
      <c r="T178" s="74">
        <v>285.35372899999999</v>
      </c>
      <c r="U178" s="74">
        <v>291.41162100000003</v>
      </c>
      <c r="V178" s="74">
        <v>298.4599</v>
      </c>
      <c r="W178" s="74">
        <v>305.87329099999999</v>
      </c>
      <c r="X178" s="74">
        <v>313.383667</v>
      </c>
      <c r="Y178" s="74">
        <v>322.602509</v>
      </c>
      <c r="Z178" s="74">
        <v>329.32333399999999</v>
      </c>
      <c r="AA178" s="74">
        <v>334.90158100000002</v>
      </c>
      <c r="AB178" s="74">
        <v>341.77615400000002</v>
      </c>
      <c r="AC178" s="74">
        <v>347.84347500000001</v>
      </c>
      <c r="AD178" s="74">
        <v>355.18014499999998</v>
      </c>
      <c r="AE178" s="74">
        <v>362.43460099999999</v>
      </c>
      <c r="AF178" s="74">
        <v>366.95764200000002</v>
      </c>
      <c r="AG178" s="74">
        <v>371.54525799999999</v>
      </c>
      <c r="AH178" s="74">
        <v>377.53942899999998</v>
      </c>
      <c r="AI178" s="74">
        <v>383.74835200000001</v>
      </c>
      <c r="AJ178" s="160">
        <v>2.9000000000000001E-2</v>
      </c>
    </row>
    <row r="179" spans="1:36" x14ac:dyDescent="0.35">
      <c r="A179" s="74" t="s">
        <v>851</v>
      </c>
      <c r="B179" s="74" t="s">
        <v>1084</v>
      </c>
      <c r="C179" s="74" t="s">
        <v>1083</v>
      </c>
      <c r="D179" s="74" t="s">
        <v>979</v>
      </c>
      <c r="F179" s="74">
        <v>13.287827999999999</v>
      </c>
      <c r="G179" s="74">
        <v>15.243914999999999</v>
      </c>
      <c r="H179" s="74">
        <v>16.233630999999999</v>
      </c>
      <c r="I179" s="74">
        <v>16.876101999999999</v>
      </c>
      <c r="J179" s="74">
        <v>17.078627000000001</v>
      </c>
      <c r="K179" s="74">
        <v>17.201312999999999</v>
      </c>
      <c r="L179" s="74">
        <v>17.380365000000001</v>
      </c>
      <c r="M179" s="74">
        <v>17.586114999999999</v>
      </c>
      <c r="N179" s="74">
        <v>17.842002999999998</v>
      </c>
      <c r="O179" s="74">
        <v>18.170925</v>
      </c>
      <c r="P179" s="74">
        <v>19.321778999999999</v>
      </c>
      <c r="Q179" s="74">
        <v>19.79401</v>
      </c>
      <c r="R179" s="74">
        <v>20.363968</v>
      </c>
      <c r="S179" s="74">
        <v>20.773417999999999</v>
      </c>
      <c r="T179" s="74">
        <v>21.157717000000002</v>
      </c>
      <c r="U179" s="74">
        <v>21.539145999999999</v>
      </c>
      <c r="V179" s="74">
        <v>21.895472999999999</v>
      </c>
      <c r="W179" s="74">
        <v>22.311063999999998</v>
      </c>
      <c r="X179" s="74">
        <v>22.633424999999999</v>
      </c>
      <c r="Y179" s="74">
        <v>23.029499000000001</v>
      </c>
      <c r="Z179" s="74">
        <v>23.367235000000001</v>
      </c>
      <c r="AA179" s="74">
        <v>23.645852999999999</v>
      </c>
      <c r="AB179" s="74">
        <v>23.986172</v>
      </c>
      <c r="AC179" s="74">
        <v>24.304537</v>
      </c>
      <c r="AD179" s="74">
        <v>24.587675000000001</v>
      </c>
      <c r="AE179" s="74">
        <v>24.880942999999998</v>
      </c>
      <c r="AF179" s="74">
        <v>25.101700000000001</v>
      </c>
      <c r="AG179" s="74">
        <v>25.282118000000001</v>
      </c>
      <c r="AH179" s="74">
        <v>25.468613000000001</v>
      </c>
      <c r="AI179" s="74">
        <v>25.675523999999999</v>
      </c>
      <c r="AJ179" s="160">
        <v>2.3E-2</v>
      </c>
    </row>
    <row r="180" spans="1:36" x14ac:dyDescent="0.35">
      <c r="A180" s="74" t="s">
        <v>849</v>
      </c>
      <c r="B180" s="74" t="s">
        <v>1082</v>
      </c>
      <c r="C180" s="74" t="s">
        <v>1081</v>
      </c>
      <c r="D180" s="74" t="s">
        <v>1038</v>
      </c>
      <c r="F180" s="74">
        <v>1252.543457</v>
      </c>
      <c r="G180" s="74">
        <v>1295.783447</v>
      </c>
      <c r="H180" s="74">
        <v>1347.3270259999999</v>
      </c>
      <c r="I180" s="74">
        <v>1372.4989009999999</v>
      </c>
      <c r="J180" s="74">
        <v>1397.4233400000001</v>
      </c>
      <c r="K180" s="74">
        <v>1420.455933</v>
      </c>
      <c r="L180" s="74">
        <v>1423.762207</v>
      </c>
      <c r="M180" s="74">
        <v>1414.9073490000001</v>
      </c>
      <c r="N180" s="74">
        <v>1413.4342039999999</v>
      </c>
      <c r="O180" s="74">
        <v>1408.3043210000001</v>
      </c>
      <c r="P180" s="74">
        <v>1368.9842530000001</v>
      </c>
      <c r="Q180" s="74">
        <v>1361.7001949999999</v>
      </c>
      <c r="R180" s="74">
        <v>1354.5302730000001</v>
      </c>
      <c r="S180" s="74">
        <v>1351.259399</v>
      </c>
      <c r="T180" s="74">
        <v>1348.69812</v>
      </c>
      <c r="U180" s="74">
        <v>1352.939453</v>
      </c>
      <c r="V180" s="74">
        <v>1363.1123050000001</v>
      </c>
      <c r="W180" s="74">
        <v>1370.948975</v>
      </c>
      <c r="X180" s="74">
        <v>1384.605591</v>
      </c>
      <c r="Y180" s="74">
        <v>1400.8229980000001</v>
      </c>
      <c r="Z180" s="74">
        <v>1409.338013</v>
      </c>
      <c r="AA180" s="74">
        <v>1416.322754</v>
      </c>
      <c r="AB180" s="74">
        <v>1424.8883060000001</v>
      </c>
      <c r="AC180" s="74">
        <v>1431.1875</v>
      </c>
      <c r="AD180" s="74">
        <v>1444.5454099999999</v>
      </c>
      <c r="AE180" s="74">
        <v>1456.6755370000001</v>
      </c>
      <c r="AF180" s="74">
        <v>1461.8835449999999</v>
      </c>
      <c r="AG180" s="74">
        <v>1469.5970460000001</v>
      </c>
      <c r="AH180" s="74">
        <v>1482.3714600000001</v>
      </c>
      <c r="AI180" s="74">
        <v>1494.6076660000001</v>
      </c>
      <c r="AJ180" s="160">
        <v>6.0000000000000001E-3</v>
      </c>
    </row>
    <row r="181" spans="1:36" x14ac:dyDescent="0.35">
      <c r="A181" s="74" t="s">
        <v>852</v>
      </c>
      <c r="B181" s="74" t="s">
        <v>1080</v>
      </c>
      <c r="C181" s="74" t="s">
        <v>1079</v>
      </c>
      <c r="D181" s="74" t="s">
        <v>979</v>
      </c>
      <c r="F181" s="74">
        <v>13.188402</v>
      </c>
      <c r="G181" s="74">
        <v>15.022371</v>
      </c>
      <c r="H181" s="74">
        <v>16.196197999999999</v>
      </c>
      <c r="I181" s="74">
        <v>16.924637000000001</v>
      </c>
      <c r="J181" s="74">
        <v>17.143599999999999</v>
      </c>
      <c r="K181" s="74">
        <v>17.303699000000002</v>
      </c>
      <c r="L181" s="74">
        <v>17.531321999999999</v>
      </c>
      <c r="M181" s="74">
        <v>17.777743999999998</v>
      </c>
      <c r="N181" s="74">
        <v>18.084842999999999</v>
      </c>
      <c r="O181" s="74">
        <v>18.497955000000001</v>
      </c>
      <c r="P181" s="74">
        <v>19.693038999999999</v>
      </c>
      <c r="Q181" s="74">
        <v>20.257625999999998</v>
      </c>
      <c r="R181" s="74">
        <v>20.885974999999998</v>
      </c>
      <c r="S181" s="74">
        <v>21.366700999999999</v>
      </c>
      <c r="T181" s="74">
        <v>21.823965000000001</v>
      </c>
      <c r="U181" s="74">
        <v>22.273136000000001</v>
      </c>
      <c r="V181" s="74">
        <v>22.69566</v>
      </c>
      <c r="W181" s="74">
        <v>23.178818</v>
      </c>
      <c r="X181" s="74">
        <v>23.571871000000002</v>
      </c>
      <c r="Y181" s="74">
        <v>24.034500000000001</v>
      </c>
      <c r="Z181" s="74">
        <v>24.470860999999999</v>
      </c>
      <c r="AA181" s="74">
        <v>24.817900000000002</v>
      </c>
      <c r="AB181" s="74">
        <v>25.228505999999999</v>
      </c>
      <c r="AC181" s="74">
        <v>25.617287000000001</v>
      </c>
      <c r="AD181" s="74">
        <v>25.972059000000002</v>
      </c>
      <c r="AE181" s="74">
        <v>26.339932999999998</v>
      </c>
      <c r="AF181" s="74">
        <v>26.636738000000001</v>
      </c>
      <c r="AG181" s="74">
        <v>26.890343000000001</v>
      </c>
      <c r="AH181" s="74">
        <v>27.149619999999999</v>
      </c>
      <c r="AI181" s="74">
        <v>27.432993</v>
      </c>
      <c r="AJ181" s="160">
        <v>2.5999999999999999E-2</v>
      </c>
    </row>
    <row r="182" spans="1:36" x14ac:dyDescent="0.35">
      <c r="A182" s="74" t="s">
        <v>853</v>
      </c>
      <c r="B182" s="74" t="s">
        <v>1078</v>
      </c>
      <c r="C182" s="74" t="s">
        <v>1077</v>
      </c>
      <c r="D182" s="74" t="s">
        <v>1038</v>
      </c>
      <c r="F182" s="74">
        <v>12.462599000000001</v>
      </c>
      <c r="G182" s="74">
        <v>12.994994</v>
      </c>
      <c r="H182" s="74">
        <v>13.550539000000001</v>
      </c>
      <c r="I182" s="74">
        <v>13.981374000000001</v>
      </c>
      <c r="J182" s="74">
        <v>14.443198000000001</v>
      </c>
      <c r="K182" s="74">
        <v>15.061208000000001</v>
      </c>
      <c r="L182" s="74">
        <v>15.552042999999999</v>
      </c>
      <c r="M182" s="74">
        <v>15.979983000000001</v>
      </c>
      <c r="N182" s="74">
        <v>16.492224</v>
      </c>
      <c r="O182" s="74">
        <v>17.013846999999998</v>
      </c>
      <c r="P182" s="74">
        <v>17.540506000000001</v>
      </c>
      <c r="Q182" s="74">
        <v>18.087109000000002</v>
      </c>
      <c r="R182" s="74">
        <v>18.649103</v>
      </c>
      <c r="S182" s="74">
        <v>19.179569000000001</v>
      </c>
      <c r="T182" s="74">
        <v>19.677866000000002</v>
      </c>
      <c r="U182" s="74">
        <v>20.257687000000001</v>
      </c>
      <c r="V182" s="74">
        <v>20.911301000000002</v>
      </c>
      <c r="W182" s="74">
        <v>21.555302000000001</v>
      </c>
      <c r="X182" s="74">
        <v>22.231691000000001</v>
      </c>
      <c r="Y182" s="74">
        <v>22.993113999999998</v>
      </c>
      <c r="Z182" s="74">
        <v>23.619637000000001</v>
      </c>
      <c r="AA182" s="74">
        <v>24.193579</v>
      </c>
      <c r="AB182" s="74">
        <v>24.835000999999998</v>
      </c>
      <c r="AC182" s="74">
        <v>25.445067999999999</v>
      </c>
      <c r="AD182" s="74">
        <v>26.157948999999999</v>
      </c>
      <c r="AE182" s="74">
        <v>26.864466</v>
      </c>
      <c r="AF182" s="74">
        <v>27.410616000000001</v>
      </c>
      <c r="AG182" s="74">
        <v>27.964652999999998</v>
      </c>
      <c r="AH182" s="74">
        <v>28.614747999999999</v>
      </c>
      <c r="AI182" s="74">
        <v>29.225649000000001</v>
      </c>
      <c r="AJ182" s="160">
        <v>0.03</v>
      </c>
    </row>
    <row r="183" spans="1:36" x14ac:dyDescent="0.35">
      <c r="A183" s="74" t="s">
        <v>854</v>
      </c>
      <c r="B183" s="74" t="s">
        <v>1076</v>
      </c>
      <c r="C183" s="74" t="s">
        <v>1075</v>
      </c>
      <c r="D183" s="74" t="s">
        <v>1038</v>
      </c>
      <c r="F183" s="74">
        <v>0</v>
      </c>
      <c r="G183" s="74">
        <v>0</v>
      </c>
      <c r="H183" s="74">
        <v>0</v>
      </c>
      <c r="I183" s="74">
        <v>0</v>
      </c>
      <c r="J183" s="74">
        <v>0</v>
      </c>
      <c r="K183" s="74">
        <v>0</v>
      </c>
      <c r="L183" s="74">
        <v>0</v>
      </c>
      <c r="M183" s="74">
        <v>0</v>
      </c>
      <c r="N183" s="74">
        <v>0</v>
      </c>
      <c r="O183" s="74">
        <v>0</v>
      </c>
      <c r="P183" s="74">
        <v>0</v>
      </c>
      <c r="Q183" s="74">
        <v>0</v>
      </c>
      <c r="R183" s="74">
        <v>0</v>
      </c>
      <c r="S183" s="74">
        <v>0</v>
      </c>
      <c r="T183" s="74">
        <v>0</v>
      </c>
      <c r="U183" s="74">
        <v>0</v>
      </c>
      <c r="V183" s="74">
        <v>0</v>
      </c>
      <c r="W183" s="74">
        <v>0</v>
      </c>
      <c r="X183" s="74">
        <v>0</v>
      </c>
      <c r="Y183" s="74">
        <v>0</v>
      </c>
      <c r="Z183" s="74">
        <v>0</v>
      </c>
      <c r="AA183" s="74">
        <v>0</v>
      </c>
      <c r="AB183" s="74">
        <v>0</v>
      </c>
      <c r="AC183" s="74">
        <v>0</v>
      </c>
      <c r="AD183" s="74">
        <v>0</v>
      </c>
      <c r="AE183" s="74">
        <v>0</v>
      </c>
      <c r="AF183" s="74">
        <v>0</v>
      </c>
      <c r="AG183" s="74">
        <v>0</v>
      </c>
      <c r="AH183" s="74">
        <v>0</v>
      </c>
      <c r="AI183" s="74">
        <v>0</v>
      </c>
      <c r="AJ183" s="74" t="s">
        <v>12</v>
      </c>
    </row>
    <row r="184" spans="1:36" x14ac:dyDescent="0.35">
      <c r="A184" s="74" t="s">
        <v>1074</v>
      </c>
      <c r="B184" s="74" t="s">
        <v>1073</v>
      </c>
      <c r="D184" s="74" t="s">
        <v>1072</v>
      </c>
    </row>
    <row r="185" spans="1:36" x14ac:dyDescent="0.35">
      <c r="A185" s="74" t="s">
        <v>1071</v>
      </c>
      <c r="B185" s="74" t="s">
        <v>1070</v>
      </c>
      <c r="C185" s="74" t="s">
        <v>1069</v>
      </c>
      <c r="D185" s="74" t="s">
        <v>1038</v>
      </c>
      <c r="F185" s="74">
        <v>1908.2669679999999</v>
      </c>
      <c r="G185" s="74">
        <v>1866.8828120000001</v>
      </c>
      <c r="H185" s="74">
        <v>1847.119385</v>
      </c>
      <c r="I185" s="74">
        <v>1825.6583250000001</v>
      </c>
      <c r="J185" s="74">
        <v>1815.5850829999999</v>
      </c>
      <c r="K185" s="74">
        <v>1821.9311520000001</v>
      </c>
      <c r="L185" s="74">
        <v>1810.4976810000001</v>
      </c>
      <c r="M185" s="74">
        <v>1788.8865969999999</v>
      </c>
      <c r="N185" s="74">
        <v>1776.0002440000001</v>
      </c>
      <c r="O185" s="74">
        <v>1760.9697269999999</v>
      </c>
      <c r="P185" s="74">
        <v>1732.7561040000001</v>
      </c>
      <c r="Q185" s="74">
        <v>1712.0896</v>
      </c>
      <c r="R185" s="74">
        <v>1698.8295900000001</v>
      </c>
      <c r="S185" s="74">
        <v>1685.9719239999999</v>
      </c>
      <c r="T185" s="74">
        <v>1672.3256839999999</v>
      </c>
      <c r="U185" s="74">
        <v>1665.978149</v>
      </c>
      <c r="V185" s="74">
        <v>1666.3367920000001</v>
      </c>
      <c r="W185" s="74">
        <v>1664.059448</v>
      </c>
      <c r="X185" s="74">
        <v>1666.4097899999999</v>
      </c>
      <c r="Y185" s="74">
        <v>1673.308716</v>
      </c>
      <c r="Z185" s="74">
        <v>1669.8896480000001</v>
      </c>
      <c r="AA185" s="74">
        <v>1665.338745</v>
      </c>
      <c r="AB185" s="74">
        <v>1663.7542719999999</v>
      </c>
      <c r="AC185" s="74">
        <v>1659.7060550000001</v>
      </c>
      <c r="AD185" s="74">
        <v>1663.377563</v>
      </c>
      <c r="AE185" s="74">
        <v>1665.856323</v>
      </c>
      <c r="AF185" s="74">
        <v>1660.154053</v>
      </c>
      <c r="AG185" s="74">
        <v>1656.698975</v>
      </c>
      <c r="AH185" s="74">
        <v>1659.1251219999999</v>
      </c>
      <c r="AI185" s="74">
        <v>1660.8134769999999</v>
      </c>
      <c r="AJ185" s="160">
        <v>-5.0000000000000001E-3</v>
      </c>
    </row>
    <row r="186" spans="1:36" x14ac:dyDescent="0.35">
      <c r="A186" s="74" t="s">
        <v>1068</v>
      </c>
      <c r="B186" s="74" t="s">
        <v>1067</v>
      </c>
      <c r="C186" s="74" t="s">
        <v>1066</v>
      </c>
      <c r="D186" s="74" t="s">
        <v>1038</v>
      </c>
      <c r="F186" s="74">
        <v>8.8897349999999999</v>
      </c>
      <c r="G186" s="74">
        <v>9.7174840000000007</v>
      </c>
      <c r="H186" s="74">
        <v>9.5399510000000003</v>
      </c>
      <c r="I186" s="74">
        <v>9.2133880000000001</v>
      </c>
      <c r="J186" s="74">
        <v>9.244434</v>
      </c>
      <c r="K186" s="74">
        <v>9.5362690000000008</v>
      </c>
      <c r="L186" s="74">
        <v>9.6029409999999995</v>
      </c>
      <c r="M186" s="74">
        <v>9.6131180000000001</v>
      </c>
      <c r="N186" s="74">
        <v>9.6486610000000006</v>
      </c>
      <c r="O186" s="74">
        <v>9.9515209999999996</v>
      </c>
      <c r="P186" s="74">
        <v>10.002528999999999</v>
      </c>
      <c r="Q186" s="74">
        <v>10.031252</v>
      </c>
      <c r="R186" s="74">
        <v>10.00189</v>
      </c>
      <c r="S186" s="74">
        <v>10.005753</v>
      </c>
      <c r="T186" s="74">
        <v>9.906898</v>
      </c>
      <c r="U186" s="74">
        <v>9.9295360000000006</v>
      </c>
      <c r="V186" s="74">
        <v>9.8882429999999992</v>
      </c>
      <c r="W186" s="74">
        <v>10.025978</v>
      </c>
      <c r="X186" s="74">
        <v>10.027162000000001</v>
      </c>
      <c r="Y186" s="74">
        <v>10.200664</v>
      </c>
      <c r="Z186" s="74">
        <v>10.262074</v>
      </c>
      <c r="AA186" s="74">
        <v>10.305918</v>
      </c>
      <c r="AB186" s="74">
        <v>10.339064</v>
      </c>
      <c r="AC186" s="74">
        <v>10.326539</v>
      </c>
      <c r="AD186" s="74">
        <v>10.390566</v>
      </c>
      <c r="AE186" s="74">
        <v>10.508013999999999</v>
      </c>
      <c r="AF186" s="74">
        <v>10.5403</v>
      </c>
      <c r="AG186" s="74">
        <v>10.557515</v>
      </c>
      <c r="AH186" s="74">
        <v>10.634947</v>
      </c>
      <c r="AI186" s="74">
        <v>10.840871999999999</v>
      </c>
      <c r="AJ186" s="160">
        <v>7.0000000000000001E-3</v>
      </c>
    </row>
    <row r="187" spans="1:36" x14ac:dyDescent="0.35">
      <c r="A187" s="74" t="s">
        <v>1065</v>
      </c>
      <c r="B187" s="74" t="s">
        <v>1064</v>
      </c>
      <c r="C187" s="74" t="s">
        <v>1063</v>
      </c>
      <c r="D187" s="74" t="s">
        <v>1038</v>
      </c>
      <c r="F187" s="74">
        <v>71.099670000000003</v>
      </c>
      <c r="G187" s="74">
        <v>71.406104999999997</v>
      </c>
      <c r="H187" s="74">
        <v>72.667884999999998</v>
      </c>
      <c r="I187" s="74">
        <v>73.082008000000002</v>
      </c>
      <c r="J187" s="74">
        <v>73.811577</v>
      </c>
      <c r="K187" s="74">
        <v>74.719848999999996</v>
      </c>
      <c r="L187" s="74">
        <v>74.651893999999999</v>
      </c>
      <c r="M187" s="74">
        <v>73.992973000000006</v>
      </c>
      <c r="N187" s="74">
        <v>73.681015000000002</v>
      </c>
      <c r="O187" s="74">
        <v>73.167038000000005</v>
      </c>
      <c r="P187" s="74">
        <v>70.916908000000006</v>
      </c>
      <c r="Q187" s="74">
        <v>70.204673999999997</v>
      </c>
      <c r="R187" s="74">
        <v>69.532082000000003</v>
      </c>
      <c r="S187" s="74">
        <v>69.073348999999993</v>
      </c>
      <c r="T187" s="74">
        <v>68.661766</v>
      </c>
      <c r="U187" s="74">
        <v>68.573859999999996</v>
      </c>
      <c r="V187" s="74">
        <v>68.773323000000005</v>
      </c>
      <c r="W187" s="74">
        <v>68.845885999999993</v>
      </c>
      <c r="X187" s="74">
        <v>69.219063000000006</v>
      </c>
      <c r="Y187" s="74">
        <v>69.722121999999999</v>
      </c>
      <c r="Z187" s="74">
        <v>69.844291999999996</v>
      </c>
      <c r="AA187" s="74">
        <v>69.912452999999999</v>
      </c>
      <c r="AB187" s="74">
        <v>70.026900999999995</v>
      </c>
      <c r="AC187" s="74">
        <v>70.056647999999996</v>
      </c>
      <c r="AD187" s="74">
        <v>70.447502</v>
      </c>
      <c r="AE187" s="74">
        <v>70.769752999999994</v>
      </c>
      <c r="AF187" s="74">
        <v>70.787689</v>
      </c>
      <c r="AG187" s="74">
        <v>70.963142000000005</v>
      </c>
      <c r="AH187" s="74">
        <v>71.379463000000001</v>
      </c>
      <c r="AI187" s="74">
        <v>71.700226000000001</v>
      </c>
      <c r="AJ187" s="160">
        <v>0</v>
      </c>
    </row>
    <row r="188" spans="1:36" x14ac:dyDescent="0.35">
      <c r="A188" s="74" t="s">
        <v>844</v>
      </c>
      <c r="B188" s="74" t="s">
        <v>1062</v>
      </c>
      <c r="C188" s="74" t="s">
        <v>1061</v>
      </c>
      <c r="D188" s="74" t="s">
        <v>1038</v>
      </c>
      <c r="F188" s="74">
        <v>62.265324</v>
      </c>
      <c r="G188" s="74">
        <v>68.301047999999994</v>
      </c>
      <c r="H188" s="74">
        <v>78.002028999999993</v>
      </c>
      <c r="I188" s="74">
        <v>89.485862999999995</v>
      </c>
      <c r="J188" s="74">
        <v>93.002540999999994</v>
      </c>
      <c r="K188" s="74">
        <v>96.025665000000004</v>
      </c>
      <c r="L188" s="74">
        <v>98.675506999999996</v>
      </c>
      <c r="M188" s="74">
        <v>100.92699399999999</v>
      </c>
      <c r="N188" s="74">
        <v>104.998009</v>
      </c>
      <c r="O188" s="74">
        <v>110.455063</v>
      </c>
      <c r="P188" s="74">
        <v>126.10189800000001</v>
      </c>
      <c r="Q188" s="74">
        <v>133.69418300000001</v>
      </c>
      <c r="R188" s="74">
        <v>143.025848</v>
      </c>
      <c r="S188" s="74">
        <v>150.18901099999999</v>
      </c>
      <c r="T188" s="74">
        <v>157.11149599999999</v>
      </c>
      <c r="U188" s="74">
        <v>164.52124000000001</v>
      </c>
      <c r="V188" s="74">
        <v>172.226822</v>
      </c>
      <c r="W188" s="74">
        <v>180.77156099999999</v>
      </c>
      <c r="X188" s="74">
        <v>188.391571</v>
      </c>
      <c r="Y188" s="74">
        <v>197.845642</v>
      </c>
      <c r="Z188" s="74">
        <v>205.41902200000001</v>
      </c>
      <c r="AA188" s="74">
        <v>211.69755599999999</v>
      </c>
      <c r="AB188" s="74">
        <v>219.67012</v>
      </c>
      <c r="AC188" s="74">
        <v>226.88800000000001</v>
      </c>
      <c r="AD188" s="74">
        <v>234.63609299999999</v>
      </c>
      <c r="AE188" s="74">
        <v>242.57153299999999</v>
      </c>
      <c r="AF188" s="74">
        <v>247.973206</v>
      </c>
      <c r="AG188" s="74">
        <v>252.85398900000001</v>
      </c>
      <c r="AH188" s="74">
        <v>258.81308000000001</v>
      </c>
      <c r="AI188" s="74">
        <v>265.341949</v>
      </c>
      <c r="AJ188" s="160">
        <v>5.0999999999999997E-2</v>
      </c>
    </row>
    <row r="189" spans="1:36" x14ac:dyDescent="0.35">
      <c r="A189" s="74" t="s">
        <v>1060</v>
      </c>
      <c r="B189" s="74" t="s">
        <v>1059</v>
      </c>
      <c r="C189" s="74" t="s">
        <v>1058</v>
      </c>
      <c r="D189" s="74" t="s">
        <v>1038</v>
      </c>
      <c r="F189" s="74">
        <v>26.725339999999999</v>
      </c>
      <c r="G189" s="74">
        <v>42.556213</v>
      </c>
      <c r="H189" s="74">
        <v>46.998806000000002</v>
      </c>
      <c r="I189" s="74">
        <v>48.056854000000001</v>
      </c>
      <c r="J189" s="74">
        <v>48.200184</v>
      </c>
      <c r="K189" s="74">
        <v>48.245716000000002</v>
      </c>
      <c r="L189" s="74">
        <v>48.247421000000003</v>
      </c>
      <c r="M189" s="74">
        <v>48.213645999999997</v>
      </c>
      <c r="N189" s="74">
        <v>48.724502999999999</v>
      </c>
      <c r="O189" s="74">
        <v>49.800269999999998</v>
      </c>
      <c r="P189" s="74">
        <v>53.372494000000003</v>
      </c>
      <c r="Q189" s="74">
        <v>55.261761</v>
      </c>
      <c r="R189" s="74">
        <v>57.478470000000002</v>
      </c>
      <c r="S189" s="74">
        <v>59.135497999999998</v>
      </c>
      <c r="T189" s="74">
        <v>60.599373</v>
      </c>
      <c r="U189" s="74">
        <v>62.309353000000002</v>
      </c>
      <c r="V189" s="74">
        <v>64.159797999999995</v>
      </c>
      <c r="W189" s="74">
        <v>66.089043000000004</v>
      </c>
      <c r="X189" s="74">
        <v>67.881943000000007</v>
      </c>
      <c r="Y189" s="74">
        <v>70.133208999999994</v>
      </c>
      <c r="Z189" s="74">
        <v>71.640433999999999</v>
      </c>
      <c r="AA189" s="74">
        <v>72.834496000000001</v>
      </c>
      <c r="AB189" s="74">
        <v>74.359001000000006</v>
      </c>
      <c r="AC189" s="74">
        <v>75.699180999999996</v>
      </c>
      <c r="AD189" s="74">
        <v>77.264274999999998</v>
      </c>
      <c r="AE189" s="74">
        <v>78.835396000000003</v>
      </c>
      <c r="AF189" s="74">
        <v>79.768974</v>
      </c>
      <c r="AG189" s="74">
        <v>80.653801000000001</v>
      </c>
      <c r="AH189" s="74">
        <v>81.825844000000004</v>
      </c>
      <c r="AI189" s="74">
        <v>83.038910000000001</v>
      </c>
      <c r="AJ189" s="160">
        <v>0.04</v>
      </c>
    </row>
    <row r="190" spans="1:36" x14ac:dyDescent="0.35">
      <c r="A190" s="74" t="s">
        <v>1057</v>
      </c>
      <c r="B190" s="74" t="s">
        <v>1056</v>
      </c>
      <c r="C190" s="74" t="s">
        <v>1055</v>
      </c>
      <c r="D190" s="74" t="s">
        <v>1038</v>
      </c>
      <c r="F190" s="74">
        <v>129.90785199999999</v>
      </c>
      <c r="G190" s="74">
        <v>148.51153600000001</v>
      </c>
      <c r="H190" s="74">
        <v>160.132172</v>
      </c>
      <c r="I190" s="74">
        <v>162.12556499999999</v>
      </c>
      <c r="J190" s="74">
        <v>161.399033</v>
      </c>
      <c r="K190" s="74">
        <v>162.941956</v>
      </c>
      <c r="L190" s="74">
        <v>163.93666099999999</v>
      </c>
      <c r="M190" s="74">
        <v>164.19695999999999</v>
      </c>
      <c r="N190" s="74">
        <v>165.16056800000001</v>
      </c>
      <c r="O190" s="74">
        <v>166.71904000000001</v>
      </c>
      <c r="P190" s="74">
        <v>174.970001</v>
      </c>
      <c r="Q190" s="74">
        <v>176.09751900000001</v>
      </c>
      <c r="R190" s="74">
        <v>178.75968900000001</v>
      </c>
      <c r="S190" s="74">
        <v>180.02685500000001</v>
      </c>
      <c r="T190" s="74">
        <v>180.79489100000001</v>
      </c>
      <c r="U190" s="74">
        <v>182.363068</v>
      </c>
      <c r="V190" s="74">
        <v>184.47463999999999</v>
      </c>
      <c r="W190" s="74">
        <v>186.83308400000001</v>
      </c>
      <c r="X190" s="74">
        <v>188.890244</v>
      </c>
      <c r="Y190" s="74">
        <v>192.184967</v>
      </c>
      <c r="Z190" s="74">
        <v>194.618439</v>
      </c>
      <c r="AA190" s="74">
        <v>195.79702800000001</v>
      </c>
      <c r="AB190" s="74">
        <v>197.835037</v>
      </c>
      <c r="AC190" s="74">
        <v>199.48507699999999</v>
      </c>
      <c r="AD190" s="74">
        <v>201.780472</v>
      </c>
      <c r="AE190" s="74">
        <v>204.10862700000001</v>
      </c>
      <c r="AF190" s="74">
        <v>204.86762999999999</v>
      </c>
      <c r="AG190" s="74">
        <v>205.541168</v>
      </c>
      <c r="AH190" s="74">
        <v>207.01733400000001</v>
      </c>
      <c r="AI190" s="74">
        <v>208.590057</v>
      </c>
      <c r="AJ190" s="160">
        <v>1.6E-2</v>
      </c>
    </row>
    <row r="191" spans="1:36" x14ac:dyDescent="0.35">
      <c r="A191" s="74" t="s">
        <v>1054</v>
      </c>
      <c r="B191" s="74" t="s">
        <v>1053</v>
      </c>
      <c r="C191" s="74" t="s">
        <v>1052</v>
      </c>
      <c r="D191" s="74" t="s">
        <v>1038</v>
      </c>
      <c r="F191" s="74">
        <v>0.16148299999999999</v>
      </c>
      <c r="G191" s="74">
        <v>0.20724600000000001</v>
      </c>
      <c r="H191" s="74">
        <v>0.21676500000000001</v>
      </c>
      <c r="I191" s="74">
        <v>0.21971199999999999</v>
      </c>
      <c r="J191" s="74">
        <v>0.22403899999999999</v>
      </c>
      <c r="K191" s="74">
        <v>0.230543</v>
      </c>
      <c r="L191" s="74">
        <v>0.234038</v>
      </c>
      <c r="M191" s="74">
        <v>0.234482</v>
      </c>
      <c r="N191" s="74">
        <v>0.23625599999999999</v>
      </c>
      <c r="O191" s="74">
        <v>0.24011299999999999</v>
      </c>
      <c r="P191" s="74">
        <v>0.241261</v>
      </c>
      <c r="Q191" s="74">
        <v>0.249085</v>
      </c>
      <c r="R191" s="74">
        <v>0.25173099999999998</v>
      </c>
      <c r="S191" s="74">
        <v>0.25675500000000001</v>
      </c>
      <c r="T191" s="74">
        <v>0.26072499999999998</v>
      </c>
      <c r="U191" s="74">
        <v>0.26633000000000001</v>
      </c>
      <c r="V191" s="74">
        <v>0.27263300000000001</v>
      </c>
      <c r="W191" s="74">
        <v>0.28105000000000002</v>
      </c>
      <c r="X191" s="74">
        <v>0.28827000000000003</v>
      </c>
      <c r="Y191" s="74">
        <v>0.29771199999999998</v>
      </c>
      <c r="Z191" s="74">
        <v>0.306371</v>
      </c>
      <c r="AA191" s="74">
        <v>0.31573899999999999</v>
      </c>
      <c r="AB191" s="74">
        <v>0.32725399999999999</v>
      </c>
      <c r="AC191" s="74">
        <v>0.33801599999999998</v>
      </c>
      <c r="AD191" s="74">
        <v>0.351578</v>
      </c>
      <c r="AE191" s="74">
        <v>0.36602699999999999</v>
      </c>
      <c r="AF191" s="74">
        <v>0.377384</v>
      </c>
      <c r="AG191" s="74">
        <v>0.388326</v>
      </c>
      <c r="AH191" s="74">
        <v>0.40300399999999997</v>
      </c>
      <c r="AI191" s="74">
        <v>0.42018800000000001</v>
      </c>
      <c r="AJ191" s="160">
        <v>3.4000000000000002E-2</v>
      </c>
    </row>
    <row r="192" spans="1:36" x14ac:dyDescent="0.35">
      <c r="A192" s="74" t="s">
        <v>1051</v>
      </c>
      <c r="B192" s="74" t="s">
        <v>1050</v>
      </c>
      <c r="C192" s="74" t="s">
        <v>1049</v>
      </c>
      <c r="D192" s="74" t="s">
        <v>1038</v>
      </c>
      <c r="F192" s="74">
        <v>1.0945199999999999</v>
      </c>
      <c r="G192" s="74">
        <v>0.76387099999999997</v>
      </c>
      <c r="H192" s="74">
        <v>0.80636699999999994</v>
      </c>
      <c r="I192" s="74">
        <v>0.84163399999999999</v>
      </c>
      <c r="J192" s="74">
        <v>0.93330900000000006</v>
      </c>
      <c r="K192" s="74">
        <v>1.0596680000000001</v>
      </c>
      <c r="L192" s="74">
        <v>1.174382</v>
      </c>
      <c r="M192" s="74">
        <v>1.2988150000000001</v>
      </c>
      <c r="N192" s="74">
        <v>1.4268339999999999</v>
      </c>
      <c r="O192" s="74">
        <v>1.552214</v>
      </c>
      <c r="P192" s="74">
        <v>1.7603219999999999</v>
      </c>
      <c r="Q192" s="74">
        <v>1.977635</v>
      </c>
      <c r="R192" s="74">
        <v>2.080962</v>
      </c>
      <c r="S192" s="74">
        <v>2.159573</v>
      </c>
      <c r="T192" s="74">
        <v>2.1911999999999998</v>
      </c>
      <c r="U192" s="74">
        <v>2.2083159999999999</v>
      </c>
      <c r="V192" s="74">
        <v>2.2130879999999999</v>
      </c>
      <c r="W192" s="74">
        <v>2.2916650000000001</v>
      </c>
      <c r="X192" s="74">
        <v>2.3735580000000001</v>
      </c>
      <c r="Y192" s="74">
        <v>2.4569879999999999</v>
      </c>
      <c r="Z192" s="74">
        <v>2.5277440000000002</v>
      </c>
      <c r="AA192" s="74">
        <v>2.5793889999999999</v>
      </c>
      <c r="AB192" s="74">
        <v>2.6341999999999999</v>
      </c>
      <c r="AC192" s="74">
        <v>2.689587</v>
      </c>
      <c r="AD192" s="74">
        <v>2.7468979999999998</v>
      </c>
      <c r="AE192" s="74">
        <v>2.7959529999999999</v>
      </c>
      <c r="AF192" s="74">
        <v>2.8209740000000001</v>
      </c>
      <c r="AG192" s="74">
        <v>2.830479</v>
      </c>
      <c r="AH192" s="74">
        <v>2.841418</v>
      </c>
      <c r="AI192" s="74">
        <v>2.855359</v>
      </c>
      <c r="AJ192" s="160">
        <v>3.4000000000000002E-2</v>
      </c>
    </row>
    <row r="193" spans="1:36" x14ac:dyDescent="0.35">
      <c r="A193" s="74" t="s">
        <v>855</v>
      </c>
      <c r="B193" s="74" t="s">
        <v>1048</v>
      </c>
      <c r="C193" s="74" t="s">
        <v>1047</v>
      </c>
      <c r="D193" s="74" t="s">
        <v>1038</v>
      </c>
      <c r="F193" s="74">
        <v>2208.4108890000002</v>
      </c>
      <c r="G193" s="74">
        <v>2208.3461910000001</v>
      </c>
      <c r="H193" s="74">
        <v>2215.483154</v>
      </c>
      <c r="I193" s="74">
        <v>2208.6833499999998</v>
      </c>
      <c r="J193" s="74">
        <v>2202.4001459999999</v>
      </c>
      <c r="K193" s="74">
        <v>2214.6906739999999</v>
      </c>
      <c r="L193" s="74">
        <v>2207.0205080000001</v>
      </c>
      <c r="M193" s="74">
        <v>2187.3635250000002</v>
      </c>
      <c r="N193" s="74">
        <v>2179.876221</v>
      </c>
      <c r="O193" s="74">
        <v>2172.8549800000001</v>
      </c>
      <c r="P193" s="74">
        <v>2170.1215820000002</v>
      </c>
      <c r="Q193" s="74">
        <v>2159.6057129999999</v>
      </c>
      <c r="R193" s="74">
        <v>2159.9602049999999</v>
      </c>
      <c r="S193" s="74">
        <v>2156.8188479999999</v>
      </c>
      <c r="T193" s="74">
        <v>2151.8520509999998</v>
      </c>
      <c r="U193" s="74">
        <v>2156.1499020000001</v>
      </c>
      <c r="V193" s="74">
        <v>2168.3454590000001</v>
      </c>
      <c r="W193" s="74">
        <v>2179.1977539999998</v>
      </c>
      <c r="X193" s="74">
        <v>2193.4814449999999</v>
      </c>
      <c r="Y193" s="74">
        <v>2216.1499020000001</v>
      </c>
      <c r="Z193" s="74">
        <v>2224.5083009999998</v>
      </c>
      <c r="AA193" s="74">
        <v>2228.78125</v>
      </c>
      <c r="AB193" s="74">
        <v>2238.945557</v>
      </c>
      <c r="AC193" s="74">
        <v>2245.1892090000001</v>
      </c>
      <c r="AD193" s="74">
        <v>2260.9948730000001</v>
      </c>
      <c r="AE193" s="74">
        <v>2275.8115229999999</v>
      </c>
      <c r="AF193" s="74">
        <v>2277.2902829999998</v>
      </c>
      <c r="AG193" s="74">
        <v>2280.4873050000001</v>
      </c>
      <c r="AH193" s="74">
        <v>2292.0402829999998</v>
      </c>
      <c r="AI193" s="74">
        <v>2303.6008299999999</v>
      </c>
      <c r="AJ193" s="160">
        <v>1E-3</v>
      </c>
    </row>
    <row r="194" spans="1:36" x14ac:dyDescent="0.35">
      <c r="A194" s="74" t="s">
        <v>1046</v>
      </c>
      <c r="B194" s="74" t="s">
        <v>1045</v>
      </c>
      <c r="C194" s="74" t="s">
        <v>1044</v>
      </c>
      <c r="D194" s="74" t="s">
        <v>1038</v>
      </c>
      <c r="F194" s="74">
        <v>721.84832800000004</v>
      </c>
      <c r="G194" s="74">
        <v>740.00701900000001</v>
      </c>
      <c r="H194" s="74">
        <v>774.588257</v>
      </c>
      <c r="I194" s="74">
        <v>835.00122099999999</v>
      </c>
      <c r="J194" s="74">
        <v>859.29724099999999</v>
      </c>
      <c r="K194" s="74">
        <v>901.696777</v>
      </c>
      <c r="L194" s="74">
        <v>908.51000999999997</v>
      </c>
      <c r="M194" s="74">
        <v>909.54022199999997</v>
      </c>
      <c r="N194" s="74">
        <v>910.73571800000002</v>
      </c>
      <c r="O194" s="74">
        <v>907.20770300000004</v>
      </c>
      <c r="P194" s="74">
        <v>895.67535399999997</v>
      </c>
      <c r="Q194" s="74">
        <v>885.52929700000004</v>
      </c>
      <c r="R194" s="74">
        <v>878.68768299999999</v>
      </c>
      <c r="S194" s="74">
        <v>874.83136000000002</v>
      </c>
      <c r="T194" s="74">
        <v>873.16058299999997</v>
      </c>
      <c r="U194" s="74">
        <v>876.14502000000005</v>
      </c>
      <c r="V194" s="74">
        <v>882.33093299999996</v>
      </c>
      <c r="W194" s="74">
        <v>884.50787400000002</v>
      </c>
      <c r="X194" s="74">
        <v>887.14636199999995</v>
      </c>
      <c r="Y194" s="74">
        <v>894.15356399999996</v>
      </c>
      <c r="Z194" s="74">
        <v>895.23230000000001</v>
      </c>
      <c r="AA194" s="74">
        <v>893.79589799999997</v>
      </c>
      <c r="AB194" s="74">
        <v>895.63403300000004</v>
      </c>
      <c r="AC194" s="74">
        <v>895.16528300000004</v>
      </c>
      <c r="AD194" s="74">
        <v>897.66729699999996</v>
      </c>
      <c r="AE194" s="74">
        <v>900.09771699999999</v>
      </c>
      <c r="AF194" s="74">
        <v>901.035889</v>
      </c>
      <c r="AG194" s="74">
        <v>900.47589100000005</v>
      </c>
      <c r="AH194" s="74">
        <v>904.90020800000002</v>
      </c>
      <c r="AI194" s="74">
        <v>908.115723</v>
      </c>
      <c r="AJ194" s="160">
        <v>8.0000000000000002E-3</v>
      </c>
    </row>
    <row r="195" spans="1:36" x14ac:dyDescent="0.35">
      <c r="A195" s="74" t="s">
        <v>1043</v>
      </c>
      <c r="B195" s="74" t="s">
        <v>1042</v>
      </c>
      <c r="C195" s="74" t="s">
        <v>1041</v>
      </c>
      <c r="D195" s="74" t="s">
        <v>1038</v>
      </c>
      <c r="F195" s="74">
        <v>0</v>
      </c>
      <c r="G195" s="74">
        <v>0</v>
      </c>
      <c r="H195" s="74">
        <v>0</v>
      </c>
      <c r="I195" s="74">
        <v>0</v>
      </c>
      <c r="J195" s="74">
        <v>0</v>
      </c>
      <c r="K195" s="74">
        <v>0</v>
      </c>
      <c r="L195" s="74">
        <v>0</v>
      </c>
      <c r="M195" s="74">
        <v>0</v>
      </c>
      <c r="N195" s="74">
        <v>0</v>
      </c>
      <c r="O195" s="74">
        <v>0</v>
      </c>
      <c r="P195" s="74">
        <v>0</v>
      </c>
      <c r="Q195" s="74">
        <v>0</v>
      </c>
      <c r="R195" s="74">
        <v>0</v>
      </c>
      <c r="S195" s="74">
        <v>0</v>
      </c>
      <c r="T195" s="74">
        <v>0</v>
      </c>
      <c r="U195" s="74">
        <v>0</v>
      </c>
      <c r="V195" s="74">
        <v>0</v>
      </c>
      <c r="W195" s="74">
        <v>0</v>
      </c>
      <c r="X195" s="74">
        <v>0</v>
      </c>
      <c r="Y195" s="74">
        <v>0</v>
      </c>
      <c r="Z195" s="74">
        <v>0</v>
      </c>
      <c r="AA195" s="74">
        <v>0</v>
      </c>
      <c r="AB195" s="74">
        <v>0</v>
      </c>
      <c r="AC195" s="74">
        <v>0</v>
      </c>
      <c r="AD195" s="74">
        <v>0</v>
      </c>
      <c r="AE195" s="74">
        <v>0</v>
      </c>
      <c r="AF195" s="74">
        <v>0</v>
      </c>
      <c r="AG195" s="74">
        <v>0</v>
      </c>
      <c r="AH195" s="74">
        <v>0</v>
      </c>
      <c r="AI195" s="74">
        <v>0</v>
      </c>
      <c r="AJ195" s="74" t="s">
        <v>12</v>
      </c>
    </row>
    <row r="196" spans="1:36" x14ac:dyDescent="0.35">
      <c r="A196" s="74" t="s">
        <v>856</v>
      </c>
      <c r="B196" s="74" t="s">
        <v>1040</v>
      </c>
      <c r="C196" s="74" t="s">
        <v>1039</v>
      </c>
      <c r="D196" s="74" t="s">
        <v>1038</v>
      </c>
      <c r="F196" s="74">
        <v>1021.99231</v>
      </c>
      <c r="G196" s="74">
        <v>1081.4704589999999</v>
      </c>
      <c r="H196" s="74">
        <v>1142.952393</v>
      </c>
      <c r="I196" s="74">
        <v>1218.026245</v>
      </c>
      <c r="J196" s="74">
        <v>1246.112183</v>
      </c>
      <c r="K196" s="74">
        <v>1294.4562989999999</v>
      </c>
      <c r="L196" s="74">
        <v>1305.032837</v>
      </c>
      <c r="M196" s="74">
        <v>1308.017212</v>
      </c>
      <c r="N196" s="74">
        <v>1314.611572</v>
      </c>
      <c r="O196" s="74">
        <v>1319.093018</v>
      </c>
      <c r="P196" s="74">
        <v>1333.0407709999999</v>
      </c>
      <c r="Q196" s="74">
        <v>1333.0454099999999</v>
      </c>
      <c r="R196" s="74">
        <v>1339.8186040000001</v>
      </c>
      <c r="S196" s="74">
        <v>1345.6779790000001</v>
      </c>
      <c r="T196" s="74">
        <v>1352.6870120000001</v>
      </c>
      <c r="U196" s="74">
        <v>1366.3167719999999</v>
      </c>
      <c r="V196" s="74">
        <v>1384.3394780000001</v>
      </c>
      <c r="W196" s="74">
        <v>1399.6461179999999</v>
      </c>
      <c r="X196" s="74">
        <v>1414.2181399999999</v>
      </c>
      <c r="Y196" s="74">
        <v>1436.994995</v>
      </c>
      <c r="Z196" s="74">
        <v>1449.850586</v>
      </c>
      <c r="AA196" s="74">
        <v>1457.2384030000001</v>
      </c>
      <c r="AB196" s="74">
        <v>1470.825562</v>
      </c>
      <c r="AC196" s="74">
        <v>1480.6484379999999</v>
      </c>
      <c r="AD196" s="74">
        <v>1495.2845460000001</v>
      </c>
      <c r="AE196" s="74">
        <v>1510.053101</v>
      </c>
      <c r="AF196" s="74">
        <v>1518.1721190000001</v>
      </c>
      <c r="AG196" s="74">
        <v>1524.2641599999999</v>
      </c>
      <c r="AH196" s="74">
        <v>1537.815308</v>
      </c>
      <c r="AI196" s="74">
        <v>1550.9030760000001</v>
      </c>
      <c r="AJ196" s="160">
        <v>1.4E-2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2B95D1-0738-4279-9AD6-48FD57B7ABAB}">
  <sheetPr codeName="Sheet5">
    <tabColor theme="7" tint="0.39997558519241921"/>
  </sheetPr>
  <dimension ref="A1:AJ147"/>
  <sheetViews>
    <sheetView topLeftCell="A41" zoomScale="85" zoomScaleNormal="85" workbookViewId="0">
      <selection activeCell="F19" sqref="F19"/>
    </sheetView>
  </sheetViews>
  <sheetFormatPr defaultColWidth="8.7265625" defaultRowHeight="14.5" x14ac:dyDescent="0.35"/>
  <cols>
    <col min="1" max="1" width="40.08984375" style="74" customWidth="1"/>
    <col min="2" max="2" width="14.6328125" style="74" customWidth="1"/>
    <col min="3" max="9" width="9.81640625" style="74" bestFit="1" customWidth="1"/>
    <col min="10" max="14" width="8.81640625" style="74" bestFit="1" customWidth="1"/>
    <col min="15" max="15" width="11.26953125" style="74" customWidth="1"/>
    <col min="16" max="34" width="8.7265625" style="74"/>
    <col min="35" max="35" width="10.6328125" style="74" customWidth="1"/>
    <col min="36" max="16384" width="8.7265625" style="74"/>
  </cols>
  <sheetData>
    <row r="1" spans="1:35" x14ac:dyDescent="0.35">
      <c r="A1" s="105" t="s">
        <v>943</v>
      </c>
      <c r="B1" s="106"/>
      <c r="C1" s="106"/>
      <c r="D1" s="106"/>
      <c r="E1" s="106"/>
      <c r="F1" s="106"/>
      <c r="G1" s="106"/>
      <c r="H1" s="106"/>
      <c r="I1" s="106"/>
      <c r="J1" s="106"/>
      <c r="K1" s="106"/>
      <c r="L1" s="106"/>
      <c r="M1" s="106"/>
      <c r="N1" s="106"/>
      <c r="O1" s="106"/>
      <c r="P1" s="106"/>
      <c r="Q1" s="106"/>
      <c r="R1" s="106"/>
      <c r="S1" s="106"/>
      <c r="T1" s="106"/>
      <c r="U1" s="106"/>
      <c r="V1" s="106"/>
      <c r="W1" s="106"/>
      <c r="X1" s="106"/>
      <c r="Y1" s="106"/>
      <c r="Z1" s="106"/>
      <c r="AA1" s="106"/>
      <c r="AB1" s="106"/>
      <c r="AC1" s="106"/>
      <c r="AD1" s="106"/>
      <c r="AE1" s="106"/>
      <c r="AF1" s="106"/>
      <c r="AG1" s="106"/>
      <c r="AH1" s="106"/>
      <c r="AI1" s="106"/>
    </row>
    <row r="2" spans="1:35" x14ac:dyDescent="0.35">
      <c r="A2" s="13" t="s">
        <v>815</v>
      </c>
    </row>
    <row r="3" spans="1:35" x14ac:dyDescent="0.35">
      <c r="A3" s="13" t="s">
        <v>944</v>
      </c>
    </row>
    <row r="26" spans="1:35" x14ac:dyDescent="0.35">
      <c r="A26" s="105" t="s">
        <v>945</v>
      </c>
      <c r="B26" s="106"/>
      <c r="C26" s="106"/>
      <c r="D26" s="106"/>
      <c r="E26" s="106"/>
      <c r="F26" s="106"/>
      <c r="G26" s="106"/>
      <c r="H26" s="106"/>
      <c r="I26" s="106"/>
      <c r="J26" s="106"/>
      <c r="K26" s="106"/>
      <c r="L26" s="106"/>
      <c r="M26" s="106"/>
      <c r="N26" s="106"/>
      <c r="O26" s="106"/>
      <c r="P26" s="106"/>
      <c r="Q26" s="106"/>
      <c r="R26" s="106"/>
      <c r="S26" s="106"/>
      <c r="T26" s="106"/>
      <c r="U26" s="106"/>
      <c r="V26" s="106"/>
      <c r="W26" s="106"/>
      <c r="X26" s="106"/>
      <c r="Y26" s="106"/>
      <c r="Z26" s="106"/>
      <c r="AA26" s="106"/>
      <c r="AB26" s="106"/>
      <c r="AC26" s="106"/>
      <c r="AD26" s="106"/>
      <c r="AE26" s="106"/>
      <c r="AF26" s="106"/>
      <c r="AG26" s="106"/>
      <c r="AH26" s="106"/>
      <c r="AI26" s="106"/>
    </row>
    <row r="27" spans="1:35" x14ac:dyDescent="0.35">
      <c r="A27" s="6" t="s">
        <v>946</v>
      </c>
    </row>
    <row r="28" spans="1:35" x14ac:dyDescent="0.35">
      <c r="A28" s="6"/>
    </row>
    <row r="29" spans="1:35" ht="58" x14ac:dyDescent="0.35">
      <c r="A29" s="74" t="s">
        <v>772</v>
      </c>
      <c r="B29" s="14" t="s">
        <v>773</v>
      </c>
      <c r="C29" s="74" t="s">
        <v>861</v>
      </c>
    </row>
    <row r="30" spans="1:35" x14ac:dyDescent="0.35">
      <c r="A30" s="74">
        <v>2019</v>
      </c>
      <c r="B30" s="74">
        <v>508.02</v>
      </c>
      <c r="C30" s="74">
        <f>B30/$B$30</f>
        <v>1</v>
      </c>
    </row>
    <row r="31" spans="1:35" x14ac:dyDescent="0.35">
      <c r="A31" s="74">
        <v>2020</v>
      </c>
      <c r="B31" s="74">
        <v>458.15899999999999</v>
      </c>
      <c r="C31" s="74">
        <f t="shared" ref="C31:C61" si="0">B31/$B$30</f>
        <v>0.90185228927994965</v>
      </c>
    </row>
    <row r="32" spans="1:35" x14ac:dyDescent="0.35">
      <c r="A32" s="74">
        <v>2021</v>
      </c>
      <c r="B32" s="74">
        <v>430.024</v>
      </c>
      <c r="C32" s="74">
        <f t="shared" si="0"/>
        <v>0.8464706113932523</v>
      </c>
    </row>
    <row r="33" spans="1:3" x14ac:dyDescent="0.35">
      <c r="A33" s="74">
        <v>2022</v>
      </c>
      <c r="B33" s="74">
        <v>411.26100000000002</v>
      </c>
      <c r="C33" s="74">
        <f t="shared" si="0"/>
        <v>0.80953702610133471</v>
      </c>
    </row>
    <row r="34" spans="1:3" x14ac:dyDescent="0.35">
      <c r="A34" s="74">
        <v>2023</v>
      </c>
      <c r="B34" s="74">
        <v>397.149</v>
      </c>
      <c r="C34" s="74">
        <f t="shared" si="0"/>
        <v>0.78175859218141019</v>
      </c>
    </row>
    <row r="35" spans="1:3" x14ac:dyDescent="0.35">
      <c r="A35" s="74">
        <v>2024</v>
      </c>
      <c r="B35" s="74">
        <v>385.87200000000001</v>
      </c>
      <c r="C35" s="74">
        <f t="shared" si="0"/>
        <v>0.75956064721861349</v>
      </c>
    </row>
    <row r="36" spans="1:3" x14ac:dyDescent="0.35">
      <c r="A36" s="74">
        <v>2025</v>
      </c>
      <c r="B36" s="74">
        <v>376.62299999999999</v>
      </c>
      <c r="C36" s="74">
        <f t="shared" si="0"/>
        <v>0.74135467107594188</v>
      </c>
    </row>
    <row r="37" spans="1:3" x14ac:dyDescent="0.35">
      <c r="A37" s="74">
        <v>2026</v>
      </c>
      <c r="B37" s="74">
        <v>368.36700000000002</v>
      </c>
      <c r="C37" s="74">
        <f t="shared" si="0"/>
        <v>0.72510334238809504</v>
      </c>
    </row>
    <row r="38" spans="1:3" x14ac:dyDescent="0.35">
      <c r="A38" s="74">
        <v>2027</v>
      </c>
      <c r="B38" s="74">
        <v>360.89499999999998</v>
      </c>
      <c r="C38" s="74">
        <f t="shared" si="0"/>
        <v>0.71039526002913267</v>
      </c>
    </row>
    <row r="39" spans="1:3" x14ac:dyDescent="0.35">
      <c r="A39" s="74">
        <v>2028</v>
      </c>
      <c r="B39" s="74">
        <v>354.18900000000002</v>
      </c>
      <c r="C39" s="74">
        <f t="shared" si="0"/>
        <v>0.69719499232313698</v>
      </c>
    </row>
    <row r="40" spans="1:3" x14ac:dyDescent="0.35">
      <c r="A40" s="74">
        <v>2029</v>
      </c>
      <c r="B40" s="74">
        <v>348.161</v>
      </c>
      <c r="C40" s="74">
        <f t="shared" si="0"/>
        <v>0.685329317743396</v>
      </c>
    </row>
    <row r="41" spans="1:3" x14ac:dyDescent="0.35">
      <c r="A41" s="74">
        <v>2030</v>
      </c>
      <c r="B41" s="74">
        <v>342.73899999999998</v>
      </c>
      <c r="C41" s="74">
        <f t="shared" si="0"/>
        <v>0.67465650958623669</v>
      </c>
    </row>
    <row r="42" spans="1:3" x14ac:dyDescent="0.35">
      <c r="A42" s="74">
        <v>2031</v>
      </c>
      <c r="B42" s="74">
        <v>337.91</v>
      </c>
      <c r="C42" s="74">
        <f t="shared" si="0"/>
        <v>0.66515097830794068</v>
      </c>
    </row>
    <row r="43" spans="1:3" x14ac:dyDescent="0.35">
      <c r="A43" s="74">
        <v>2032</v>
      </c>
      <c r="B43" s="74">
        <v>333.63299999999998</v>
      </c>
      <c r="C43" s="74">
        <f t="shared" si="0"/>
        <v>0.65673201842447149</v>
      </c>
    </row>
    <row r="44" spans="1:3" x14ac:dyDescent="0.35">
      <c r="A44" s="74">
        <v>2033</v>
      </c>
      <c r="B44" s="74">
        <v>329.88799999999998</v>
      </c>
      <c r="C44" s="74">
        <f t="shared" si="0"/>
        <v>0.64936026140703118</v>
      </c>
    </row>
    <row r="45" spans="1:3" x14ac:dyDescent="0.35">
      <c r="A45" s="74">
        <v>2034</v>
      </c>
      <c r="B45" s="74">
        <v>326.596</v>
      </c>
      <c r="C45" s="74">
        <f t="shared" si="0"/>
        <v>0.64288020156686743</v>
      </c>
    </row>
    <row r="46" spans="1:3" x14ac:dyDescent="0.35">
      <c r="A46" s="74">
        <v>2035</v>
      </c>
      <c r="B46" s="74">
        <v>323.69900000000001</v>
      </c>
      <c r="C46" s="74">
        <f t="shared" si="0"/>
        <v>0.63717767017046578</v>
      </c>
    </row>
    <row r="47" spans="1:3" x14ac:dyDescent="0.35">
      <c r="A47" s="74">
        <v>2036</v>
      </c>
      <c r="B47" s="74">
        <v>321.11</v>
      </c>
      <c r="C47" s="74">
        <f t="shared" si="0"/>
        <v>0.63208141411755447</v>
      </c>
    </row>
    <row r="48" spans="1:3" x14ac:dyDescent="0.35">
      <c r="A48" s="74">
        <v>2037</v>
      </c>
      <c r="B48" s="74">
        <v>318.81799999999998</v>
      </c>
      <c r="C48" s="74">
        <f t="shared" si="0"/>
        <v>0.62756978071729463</v>
      </c>
    </row>
    <row r="49" spans="1:33" x14ac:dyDescent="0.35">
      <c r="A49" s="74">
        <v>2038</v>
      </c>
      <c r="B49" s="74">
        <v>316.77600000000001</v>
      </c>
      <c r="C49" s="74">
        <f t="shared" si="0"/>
        <v>0.6235502539270108</v>
      </c>
    </row>
    <row r="50" spans="1:33" x14ac:dyDescent="0.35">
      <c r="A50" s="74">
        <v>2039</v>
      </c>
      <c r="B50" s="74">
        <v>314.935</v>
      </c>
      <c r="C50" s="74">
        <f t="shared" si="0"/>
        <v>0.6199263808511476</v>
      </c>
    </row>
    <row r="51" spans="1:33" x14ac:dyDescent="0.35">
      <c r="A51" s="74">
        <v>2040</v>
      </c>
      <c r="B51" s="74">
        <v>313.25799999999998</v>
      </c>
      <c r="C51" s="74">
        <f t="shared" si="0"/>
        <v>0.61662532971142869</v>
      </c>
    </row>
    <row r="52" spans="1:33" x14ac:dyDescent="0.35">
      <c r="A52" s="74">
        <v>2041</v>
      </c>
      <c r="B52" s="74">
        <v>311.74900000000002</v>
      </c>
      <c r="C52" s="74">
        <f t="shared" si="0"/>
        <v>0.6136549742136137</v>
      </c>
    </row>
    <row r="53" spans="1:33" x14ac:dyDescent="0.35">
      <c r="A53" s="74">
        <v>2042</v>
      </c>
      <c r="B53" s="74">
        <v>310.38</v>
      </c>
      <c r="C53" s="74">
        <f t="shared" si="0"/>
        <v>0.61096019841738514</v>
      </c>
    </row>
    <row r="54" spans="1:33" x14ac:dyDescent="0.35">
      <c r="A54" s="74">
        <v>2043</v>
      </c>
      <c r="B54" s="74">
        <v>309.13099999999997</v>
      </c>
      <c r="C54" s="74">
        <f t="shared" si="0"/>
        <v>0.60850163379394506</v>
      </c>
    </row>
    <row r="55" spans="1:33" x14ac:dyDescent="0.35">
      <c r="A55" s="74">
        <v>2044</v>
      </c>
      <c r="B55" s="74">
        <v>307.98700000000002</v>
      </c>
      <c r="C55" s="74">
        <f t="shared" si="0"/>
        <v>0.60624975394669511</v>
      </c>
    </row>
    <row r="56" spans="1:33" x14ac:dyDescent="0.35">
      <c r="A56" s="74">
        <v>2045</v>
      </c>
      <c r="B56" s="74">
        <v>306.93400000000003</v>
      </c>
      <c r="C56" s="74">
        <f t="shared" si="0"/>
        <v>0.60417700090547621</v>
      </c>
    </row>
    <row r="57" spans="1:33" x14ac:dyDescent="0.35">
      <c r="A57" s="74">
        <v>2046</v>
      </c>
      <c r="B57" s="74">
        <v>305.96100000000001</v>
      </c>
      <c r="C57" s="74">
        <f t="shared" si="0"/>
        <v>0.60226172197944972</v>
      </c>
    </row>
    <row r="58" spans="1:33" x14ac:dyDescent="0.35">
      <c r="A58" s="74">
        <v>2047</v>
      </c>
      <c r="B58" s="74">
        <v>305.05799999999999</v>
      </c>
      <c r="C58" s="74">
        <f t="shared" si="0"/>
        <v>0.60048423290421638</v>
      </c>
    </row>
    <row r="59" spans="1:33" x14ac:dyDescent="0.35">
      <c r="A59" s="74">
        <v>2048</v>
      </c>
      <c r="B59" s="74">
        <v>304.21600000000001</v>
      </c>
      <c r="C59" s="74">
        <f t="shared" si="0"/>
        <v>0.59882681784181724</v>
      </c>
    </row>
    <row r="60" spans="1:33" x14ac:dyDescent="0.35">
      <c r="A60" s="74">
        <v>2049</v>
      </c>
      <c r="B60" s="74">
        <v>303.43</v>
      </c>
      <c r="C60" s="74">
        <f t="shared" si="0"/>
        <v>0.59727963466005274</v>
      </c>
    </row>
    <row r="61" spans="1:33" x14ac:dyDescent="0.35">
      <c r="A61" s="74">
        <v>2050</v>
      </c>
      <c r="B61" s="74">
        <v>302.69299999999998</v>
      </c>
      <c r="C61" s="74">
        <f t="shared" si="0"/>
        <v>0.5958289043738435</v>
      </c>
    </row>
    <row r="63" spans="1:33" x14ac:dyDescent="0.35">
      <c r="A63" s="74" t="s">
        <v>814</v>
      </c>
      <c r="B63" s="74">
        <v>2019</v>
      </c>
      <c r="C63" s="74">
        <v>2020</v>
      </c>
      <c r="D63" s="74">
        <v>2021</v>
      </c>
      <c r="E63" s="74">
        <v>2022</v>
      </c>
      <c r="F63" s="74">
        <v>2023</v>
      </c>
      <c r="G63" s="74">
        <v>2024</v>
      </c>
      <c r="H63" s="74">
        <v>2025</v>
      </c>
      <c r="I63" s="74">
        <v>2026</v>
      </c>
      <c r="J63" s="74">
        <v>2027</v>
      </c>
      <c r="K63" s="74">
        <v>2028</v>
      </c>
      <c r="L63" s="74">
        <v>2029</v>
      </c>
      <c r="M63" s="74">
        <v>2030</v>
      </c>
      <c r="N63" s="74">
        <v>2031</v>
      </c>
      <c r="O63" s="74">
        <v>2032</v>
      </c>
      <c r="P63" s="74">
        <v>2033</v>
      </c>
      <c r="Q63" s="74">
        <v>2034</v>
      </c>
      <c r="R63" s="74">
        <v>2035</v>
      </c>
      <c r="S63" s="74">
        <v>2036</v>
      </c>
      <c r="T63" s="74">
        <v>2037</v>
      </c>
      <c r="U63" s="74">
        <v>2038</v>
      </c>
      <c r="V63" s="74">
        <v>2039</v>
      </c>
      <c r="W63" s="74">
        <v>2040</v>
      </c>
      <c r="X63" s="74">
        <v>2041</v>
      </c>
      <c r="Y63" s="74">
        <v>2042</v>
      </c>
      <c r="Z63" s="74">
        <v>2043</v>
      </c>
      <c r="AA63" s="74">
        <v>2044</v>
      </c>
      <c r="AB63" s="74">
        <v>2045</v>
      </c>
      <c r="AC63" s="74">
        <v>2046</v>
      </c>
      <c r="AD63" s="74">
        <v>2047</v>
      </c>
      <c r="AE63" s="74">
        <v>2048</v>
      </c>
      <c r="AF63" s="74">
        <v>2049</v>
      </c>
      <c r="AG63" s="74">
        <v>2050</v>
      </c>
    </row>
    <row r="64" spans="1:33" x14ac:dyDescent="0.35">
      <c r="A64" s="74" t="s">
        <v>816</v>
      </c>
      <c r="B64" s="79">
        <v>1</v>
      </c>
      <c r="C64" s="79">
        <v>0.90185228927994965</v>
      </c>
      <c r="D64" s="79">
        <v>0.8464706113932523</v>
      </c>
      <c r="E64" s="79">
        <v>0.80953702610133471</v>
      </c>
      <c r="F64" s="79">
        <v>0.78175859218141019</v>
      </c>
      <c r="G64" s="79">
        <v>0.75956064721861349</v>
      </c>
      <c r="H64" s="79">
        <v>0.74135467107594188</v>
      </c>
      <c r="I64" s="79">
        <v>0.72510334238809504</v>
      </c>
      <c r="J64" s="79">
        <v>0.71039526002913267</v>
      </c>
      <c r="K64" s="79">
        <v>0.69719499232313698</v>
      </c>
      <c r="L64" s="79">
        <v>0.685329317743396</v>
      </c>
      <c r="M64" s="79">
        <v>0.67465650958623669</v>
      </c>
      <c r="N64" s="79">
        <v>0.66515097830794068</v>
      </c>
      <c r="O64" s="79">
        <v>0.65673201842447149</v>
      </c>
      <c r="P64" s="79">
        <v>0.64936026140703118</v>
      </c>
      <c r="Q64" s="79">
        <v>0.64288020156686743</v>
      </c>
      <c r="R64" s="79">
        <v>0.63717767017046578</v>
      </c>
      <c r="S64" s="79">
        <v>0.63208141411755447</v>
      </c>
      <c r="T64" s="79">
        <v>0.62756978071729463</v>
      </c>
      <c r="U64" s="79">
        <v>0.6235502539270108</v>
      </c>
      <c r="V64" s="79">
        <v>0.6199263808511476</v>
      </c>
      <c r="W64" s="79">
        <v>0.61662532971142869</v>
      </c>
      <c r="X64" s="79">
        <v>0.6136549742136137</v>
      </c>
      <c r="Y64" s="79">
        <v>0.61096019841738514</v>
      </c>
      <c r="Z64" s="79">
        <v>0.60850163379394506</v>
      </c>
      <c r="AA64" s="79">
        <v>0.60624975394669511</v>
      </c>
      <c r="AB64" s="79">
        <v>0.60417700090547621</v>
      </c>
      <c r="AC64" s="79">
        <v>0.60226172197944972</v>
      </c>
      <c r="AD64" s="79">
        <v>0.60048423290421638</v>
      </c>
      <c r="AE64" s="79">
        <v>0.59882681784181724</v>
      </c>
      <c r="AF64" s="79">
        <v>0.59727963466005274</v>
      </c>
      <c r="AG64" s="79">
        <v>0.5958289043738435</v>
      </c>
    </row>
    <row r="66" spans="1:35" x14ac:dyDescent="0.35">
      <c r="A66" s="105" t="s">
        <v>878</v>
      </c>
      <c r="B66" s="106"/>
      <c r="C66" s="106"/>
      <c r="D66" s="106"/>
      <c r="E66" s="106"/>
      <c r="F66" s="106"/>
      <c r="G66" s="106"/>
      <c r="H66" s="106"/>
      <c r="I66" s="106"/>
      <c r="J66" s="106"/>
      <c r="K66" s="106"/>
      <c r="L66" s="106"/>
      <c r="M66" s="106"/>
      <c r="N66" s="106"/>
      <c r="O66" s="106"/>
      <c r="P66" s="106"/>
      <c r="Q66" s="106"/>
      <c r="R66" s="106"/>
      <c r="S66" s="106"/>
      <c r="T66" s="106"/>
      <c r="U66" s="106"/>
      <c r="V66" s="106"/>
      <c r="W66" s="106"/>
      <c r="X66" s="106"/>
      <c r="Y66" s="106"/>
      <c r="Z66" s="106"/>
      <c r="AA66" s="106"/>
      <c r="AB66" s="106"/>
      <c r="AC66" s="106"/>
      <c r="AD66" s="106"/>
      <c r="AE66" s="106"/>
      <c r="AF66" s="106"/>
      <c r="AG66" s="106"/>
      <c r="AH66" s="106"/>
      <c r="AI66" s="106"/>
    </row>
    <row r="67" spans="1:35" x14ac:dyDescent="0.35">
      <c r="B67" s="101">
        <v>2017</v>
      </c>
      <c r="C67" s="101">
        <v>2018</v>
      </c>
      <c r="D67" s="101">
        <v>2019</v>
      </c>
      <c r="E67" s="101">
        <v>2020</v>
      </c>
      <c r="F67" s="101">
        <v>2021</v>
      </c>
      <c r="G67" s="101">
        <v>2022</v>
      </c>
      <c r="H67" s="101">
        <v>2023</v>
      </c>
      <c r="I67" s="101">
        <v>2024</v>
      </c>
      <c r="J67" s="101">
        <v>2025</v>
      </c>
      <c r="K67" s="101">
        <v>2026</v>
      </c>
      <c r="L67" s="101">
        <v>2027</v>
      </c>
      <c r="M67" s="101">
        <v>2028</v>
      </c>
      <c r="N67" s="101">
        <v>2029</v>
      </c>
      <c r="O67" s="101">
        <v>2030</v>
      </c>
      <c r="P67" s="101">
        <f>O67+1</f>
        <v>2031</v>
      </c>
      <c r="Q67" s="101">
        <f t="shared" ref="Q67:AD67" si="1">P67+1</f>
        <v>2032</v>
      </c>
      <c r="R67" s="101">
        <f t="shared" si="1"/>
        <v>2033</v>
      </c>
      <c r="S67" s="101">
        <f t="shared" si="1"/>
        <v>2034</v>
      </c>
      <c r="T67" s="101">
        <f t="shared" si="1"/>
        <v>2035</v>
      </c>
      <c r="U67" s="101">
        <f t="shared" si="1"/>
        <v>2036</v>
      </c>
      <c r="V67" s="101">
        <f t="shared" si="1"/>
        <v>2037</v>
      </c>
      <c r="W67" s="101">
        <f t="shared" si="1"/>
        <v>2038</v>
      </c>
      <c r="X67" s="101">
        <f t="shared" si="1"/>
        <v>2039</v>
      </c>
      <c r="Y67" s="101">
        <f t="shared" si="1"/>
        <v>2040</v>
      </c>
      <c r="Z67" s="101">
        <f t="shared" si="1"/>
        <v>2041</v>
      </c>
      <c r="AA67" s="101">
        <f t="shared" si="1"/>
        <v>2042</v>
      </c>
      <c r="AB67" s="101">
        <f t="shared" si="1"/>
        <v>2043</v>
      </c>
      <c r="AC67" s="101">
        <f t="shared" si="1"/>
        <v>2044</v>
      </c>
      <c r="AD67" s="101">
        <f t="shared" si="1"/>
        <v>2045</v>
      </c>
      <c r="AE67" s="101">
        <f>AD67+1</f>
        <v>2046</v>
      </c>
      <c r="AF67" s="101">
        <f t="shared" ref="AF67:AI67" si="2">AE67+1</f>
        <v>2047</v>
      </c>
      <c r="AG67" s="101">
        <f t="shared" si="2"/>
        <v>2048</v>
      </c>
      <c r="AH67" s="101">
        <f t="shared" si="2"/>
        <v>2049</v>
      </c>
      <c r="AI67" s="101">
        <f t="shared" si="2"/>
        <v>2050</v>
      </c>
    </row>
    <row r="68" spans="1:35" x14ac:dyDescent="0.35">
      <c r="A68" s="1" t="s">
        <v>942</v>
      </c>
      <c r="B68" s="138">
        <v>214</v>
      </c>
      <c r="C68" s="152">
        <v>176</v>
      </c>
      <c r="D68" s="152">
        <v>156</v>
      </c>
      <c r="E68" s="152">
        <f t="shared" ref="E68:AI68" si="3">$D$68*C64</f>
        <v>140.68895712767215</v>
      </c>
      <c r="F68" s="152">
        <f t="shared" si="3"/>
        <v>132.04941537734737</v>
      </c>
      <c r="G68" s="152">
        <f t="shared" si="3"/>
        <v>126.28777607180821</v>
      </c>
      <c r="H68" s="152">
        <f t="shared" si="3"/>
        <v>121.9543403803</v>
      </c>
      <c r="I68" s="152">
        <f t="shared" si="3"/>
        <v>118.4914609661037</v>
      </c>
      <c r="J68" s="152">
        <f t="shared" si="3"/>
        <v>115.65132868784693</v>
      </c>
      <c r="K68" s="152">
        <f t="shared" si="3"/>
        <v>113.11612141254282</v>
      </c>
      <c r="L68" s="152">
        <f t="shared" si="3"/>
        <v>110.8216605645447</v>
      </c>
      <c r="M68" s="152">
        <f t="shared" si="3"/>
        <v>108.76241880240937</v>
      </c>
      <c r="N68" s="152">
        <f t="shared" si="3"/>
        <v>106.91137356796978</v>
      </c>
      <c r="O68" s="152">
        <f t="shared" si="3"/>
        <v>105.24641549545292</v>
      </c>
      <c r="P68" s="152">
        <f t="shared" si="3"/>
        <v>103.76355261603875</v>
      </c>
      <c r="Q68" s="152">
        <f t="shared" si="3"/>
        <v>102.45019487421756</v>
      </c>
      <c r="R68" s="152">
        <f t="shared" si="3"/>
        <v>101.30020077949686</v>
      </c>
      <c r="S68" s="152">
        <f t="shared" si="3"/>
        <v>100.28931144443132</v>
      </c>
      <c r="T68" s="152">
        <f t="shared" si="3"/>
        <v>99.399716546592657</v>
      </c>
      <c r="U68" s="152">
        <f t="shared" si="3"/>
        <v>98.604700602338497</v>
      </c>
      <c r="V68" s="152">
        <f t="shared" si="3"/>
        <v>97.900885791897963</v>
      </c>
      <c r="W68" s="152">
        <f t="shared" si="3"/>
        <v>97.273839612613685</v>
      </c>
      <c r="X68" s="152">
        <f t="shared" si="3"/>
        <v>96.708515412779022</v>
      </c>
      <c r="Y68" s="152">
        <f t="shared" si="3"/>
        <v>96.193551434982879</v>
      </c>
      <c r="Z68" s="152">
        <f t="shared" si="3"/>
        <v>95.730175977323739</v>
      </c>
      <c r="AA68" s="152">
        <f t="shared" si="3"/>
        <v>95.309790953112085</v>
      </c>
      <c r="AB68" s="152">
        <f t="shared" si="3"/>
        <v>94.926254871855434</v>
      </c>
      <c r="AC68" s="152">
        <f t="shared" si="3"/>
        <v>94.574961615684444</v>
      </c>
      <c r="AD68" s="152">
        <f t="shared" si="3"/>
        <v>94.251612141254284</v>
      </c>
      <c r="AE68" s="152">
        <f t="shared" si="3"/>
        <v>93.952828628794151</v>
      </c>
      <c r="AF68" s="152">
        <f t="shared" si="3"/>
        <v>93.675540333057754</v>
      </c>
      <c r="AG68" s="152">
        <f t="shared" si="3"/>
        <v>93.416983583323486</v>
      </c>
      <c r="AH68" s="152">
        <f t="shared" si="3"/>
        <v>93.175623006968223</v>
      </c>
      <c r="AI68" s="152">
        <f t="shared" si="3"/>
        <v>92.949309082319587</v>
      </c>
    </row>
    <row r="69" spans="1:35" x14ac:dyDescent="0.35">
      <c r="B69" s="101"/>
      <c r="C69" s="101"/>
      <c r="D69" s="101"/>
      <c r="E69" s="101"/>
      <c r="F69" s="101"/>
      <c r="G69" s="101"/>
      <c r="H69" s="101"/>
      <c r="I69" s="101"/>
      <c r="J69" s="101"/>
      <c r="K69" s="101"/>
      <c r="L69" s="101"/>
      <c r="M69" s="101"/>
      <c r="N69" s="101"/>
      <c r="O69" s="101"/>
      <c r="P69" s="101"/>
      <c r="Q69" s="101"/>
      <c r="R69" s="101"/>
      <c r="S69" s="101"/>
      <c r="T69" s="101"/>
      <c r="U69" s="101"/>
      <c r="V69" s="101"/>
      <c r="W69" s="101"/>
      <c r="X69" s="101"/>
      <c r="Y69" s="101"/>
      <c r="Z69" s="101"/>
      <c r="AA69" s="101"/>
      <c r="AB69" s="101"/>
      <c r="AC69" s="101"/>
      <c r="AD69" s="101"/>
      <c r="AE69" s="101"/>
      <c r="AF69" s="101"/>
      <c r="AG69" s="101"/>
      <c r="AH69" s="101"/>
      <c r="AI69" s="101"/>
    </row>
    <row r="70" spans="1:35" x14ac:dyDescent="0.35">
      <c r="A70" s="133" t="s">
        <v>1205</v>
      </c>
      <c r="B70" s="107">
        <f t="shared" ref="B70:C70" si="4">C70</f>
        <v>91.393975243657309</v>
      </c>
      <c r="C70" s="107">
        <f t="shared" si="4"/>
        <v>91.393975243657309</v>
      </c>
      <c r="D70" s="107">
        <f>E70</f>
        <v>91.393975243657309</v>
      </c>
      <c r="E70" s="107">
        <f>'LDV psg battery'!E82</f>
        <v>91.393975243657309</v>
      </c>
      <c r="F70" s="107">
        <f>'LDV psg battery'!F82</f>
        <v>91.393975243657309</v>
      </c>
      <c r="G70" s="107">
        <f>'LDV psg battery'!G82</f>
        <v>91.393975243657309</v>
      </c>
      <c r="H70" s="107">
        <f>'LDV psg battery'!H82</f>
        <v>91.836093085454024</v>
      </c>
      <c r="I70" s="107">
        <f>'LDV psg battery'!I82</f>
        <v>92.298217923212064</v>
      </c>
      <c r="J70" s="107">
        <f>'LDV psg battery'!J82</f>
        <v>92.609243249421723</v>
      </c>
      <c r="K70" s="107">
        <f>'LDV psg battery'!K82</f>
        <v>92.840478821132564</v>
      </c>
      <c r="L70" s="107">
        <f>'LDV psg battery'!L82</f>
        <v>92.942592836269469</v>
      </c>
      <c r="M70" s="107">
        <f>'LDV psg battery'!M82</f>
        <v>92.97417553006062</v>
      </c>
      <c r="N70" s="107">
        <f>'LDV psg battery'!N82</f>
        <v>92.980117351427367</v>
      </c>
      <c r="O70" s="107">
        <f>'LDV psg battery'!O82</f>
        <v>92.998476964544153</v>
      </c>
      <c r="P70" s="107">
        <f>'LDV psg battery'!P82</f>
        <v>93.236270479853701</v>
      </c>
      <c r="Q70" s="107">
        <f>'LDV psg battery'!Q82</f>
        <v>93.084296584974467</v>
      </c>
      <c r="R70" s="107">
        <f>'LDV psg battery'!R82</f>
        <v>93.196934360334069</v>
      </c>
      <c r="S70" s="107">
        <f>'LDV psg battery'!S82</f>
        <v>93.228583742519263</v>
      </c>
      <c r="T70" s="107">
        <f>'LDV psg battery'!T82</f>
        <v>93.295380264033099</v>
      </c>
      <c r="U70" s="107">
        <f>'LDV psg battery'!U82</f>
        <v>93.374944380432709</v>
      </c>
      <c r="V70" s="107">
        <f>'LDV psg battery'!V82</f>
        <v>93.458428172558015</v>
      </c>
      <c r="W70" s="107">
        <f>'LDV psg battery'!W82</f>
        <v>93.561486646567545</v>
      </c>
      <c r="X70" s="107">
        <f>'LDV psg battery'!X82</f>
        <v>93.635303488178835</v>
      </c>
      <c r="Y70" s="107">
        <f>'LDV psg battery'!Y82</f>
        <v>93.749911445348914</v>
      </c>
      <c r="Z70" s="107">
        <f>'LDV psg battery'!Z82</f>
        <v>93.832356523184089</v>
      </c>
      <c r="AA70" s="107">
        <f>'LDV psg battery'!AA82</f>
        <v>93.912324272748521</v>
      </c>
      <c r="AB70" s="107">
        <f>'LDV psg battery'!AB82</f>
        <v>94.009992125644473</v>
      </c>
      <c r="AC70" s="107">
        <f>'LDV psg battery'!AC82</f>
        <v>94.083189481678772</v>
      </c>
      <c r="AD70" s="107">
        <f>'LDV psg battery'!AD82</f>
        <v>94.148207436547054</v>
      </c>
      <c r="AE70" s="107">
        <f>'LDV psg battery'!AE82</f>
        <v>94.220954323641593</v>
      </c>
      <c r="AF70" s="107">
        <f>'LDV psg battery'!AF82</f>
        <v>94.271850635983711</v>
      </c>
      <c r="AG70" s="107">
        <f>'LDV psg battery'!AG82</f>
        <v>94.322561906243479</v>
      </c>
      <c r="AH70" s="107">
        <f>'LDV psg battery'!AH82</f>
        <v>94.38309157863992</v>
      </c>
      <c r="AI70" s="107">
        <f>'LDV psg battery'!AI82</f>
        <v>94.443692216518599</v>
      </c>
    </row>
    <row r="72" spans="1:35" x14ac:dyDescent="0.35">
      <c r="A72" s="1" t="s">
        <v>844</v>
      </c>
      <c r="B72" s="101"/>
      <c r="C72" s="101"/>
      <c r="D72" s="101"/>
      <c r="E72" s="101"/>
      <c r="F72" s="101"/>
      <c r="G72" s="101"/>
      <c r="H72" s="101"/>
      <c r="I72" s="101"/>
      <c r="J72" s="101"/>
      <c r="K72" s="101"/>
      <c r="L72" s="101"/>
      <c r="M72" s="101"/>
      <c r="N72" s="101"/>
      <c r="O72" s="101"/>
      <c r="P72" s="101"/>
      <c r="Q72" s="101"/>
      <c r="R72" s="101"/>
      <c r="S72" s="101"/>
      <c r="T72" s="101"/>
      <c r="U72" s="101"/>
      <c r="V72" s="101"/>
      <c r="W72" s="101"/>
      <c r="X72" s="101"/>
      <c r="Y72" s="101"/>
      <c r="Z72" s="101"/>
      <c r="AA72" s="101"/>
      <c r="AB72" s="101"/>
      <c r="AC72" s="101"/>
      <c r="AD72" s="101"/>
      <c r="AE72" s="101"/>
      <c r="AF72" s="101"/>
      <c r="AG72" s="101"/>
      <c r="AH72" s="101"/>
      <c r="AI72" s="101"/>
    </row>
    <row r="73" spans="1:35" x14ac:dyDescent="0.35">
      <c r="A73" s="121" t="s">
        <v>940</v>
      </c>
      <c r="B73" s="138">
        <f>B74*About!$A$168</f>
        <v>17564.43511168379</v>
      </c>
      <c r="C73" s="138">
        <f>C74*About!$A$168</f>
        <v>14445.516727366106</v>
      </c>
      <c r="D73" s="138">
        <f>D74*About!$A$168</f>
        <v>12803.980735619958</v>
      </c>
      <c r="E73" s="138">
        <f>E74*About!$A$168</f>
        <v>11547.299338315235</v>
      </c>
      <c r="F73" s="138">
        <f>F74*About!$A$168</f>
        <v>10838.193401547653</v>
      </c>
      <c r="G73" s="138">
        <f>G74*About!$A$168</f>
        <v>10365.29648697256</v>
      </c>
      <c r="H73" s="138">
        <f>H74*About!$A$168</f>
        <v>10058.043444166278</v>
      </c>
      <c r="I73" s="138">
        <f>I74*About!$A$168</f>
        <v>9821.6220102241914</v>
      </c>
      <c r="J73" s="138">
        <f>J74*About!$A$168</f>
        <v>9618.5101598120345</v>
      </c>
      <c r="K73" s="138">
        <f>K74*About!$A$168</f>
        <v>9431.1515374775008</v>
      </c>
      <c r="L73" s="138">
        <f>L74*About!$A$168</f>
        <v>9250.0117266950328</v>
      </c>
      <c r="M73" s="138">
        <f>M74*About!$A$168</f>
        <v>9081.2167036384108</v>
      </c>
      <c r="N73" s="138">
        <f>N74*About!$A$168</f>
        <v>8927.2324924035056</v>
      </c>
      <c r="O73" s="138">
        <f>O74*About!$A$168</f>
        <v>8789.9417217040082</v>
      </c>
      <c r="P73" s="138">
        <f>P74*About!$A$168</f>
        <v>8688.2552538701457</v>
      </c>
      <c r="Q73" s="138">
        <f>Q74*About!$A$168</f>
        <v>8564.3036332348784</v>
      </c>
      <c r="R73" s="138">
        <f>R74*About!$A$168</f>
        <v>8478.4171172902697</v>
      </c>
      <c r="S73" s="138">
        <f>S74*About!$A$168</f>
        <v>8396.6602793533584</v>
      </c>
      <c r="T73" s="138">
        <f>T74*About!$A$168</f>
        <v>8328.1421839549712</v>
      </c>
      <c r="U73" s="138">
        <f>U74*About!$A$168</f>
        <v>8268.5778730327311</v>
      </c>
      <c r="V73" s="138">
        <f>V74*About!$A$168</f>
        <v>8216.8988312786096</v>
      </c>
      <c r="W73" s="138">
        <f>W74*About!$A$168</f>
        <v>8173.2732530139692</v>
      </c>
      <c r="X73" s="138">
        <f>X74*About!$A$168</f>
        <v>8132.1837828300804</v>
      </c>
      <c r="Y73" s="138">
        <f>Y74*About!$A$168</f>
        <v>8098.7812967957871</v>
      </c>
      <c r="Z73" s="138">
        <f>Z74*About!$A$168</f>
        <v>8066.8564123308734</v>
      </c>
      <c r="AA73" s="138">
        <f>AA74*About!$A$168</f>
        <v>8038.2767087163438</v>
      </c>
      <c r="AB73" s="138">
        <f>AB74*About!$A$168</f>
        <v>8014.2559683738964</v>
      </c>
      <c r="AC73" s="138">
        <f>AC74*About!$A$168</f>
        <v>7990.8145472322185</v>
      </c>
      <c r="AD73" s="138">
        <f>AD74*About!$A$168</f>
        <v>7968.997470436726</v>
      </c>
      <c r="AE73" s="138">
        <f>AE74*About!$A$168</f>
        <v>7949.8732527779439</v>
      </c>
      <c r="AF73" s="138">
        <f>AF74*About!$A$168</f>
        <v>7930.692033789107</v>
      </c>
      <c r="AG73" s="138">
        <f>AG74*About!$A$168</f>
        <v>7913.0566355637948</v>
      </c>
      <c r="AH73" s="138">
        <f>AH74*About!$A$168</f>
        <v>7897.6766763428604</v>
      </c>
      <c r="AI73" s="138">
        <f>AI74*About!$A$168</f>
        <v>7883.552590665905</v>
      </c>
    </row>
    <row r="74" spans="1:35" x14ac:dyDescent="0.35">
      <c r="A74" s="121" t="s">
        <v>941</v>
      </c>
      <c r="B74" s="138">
        <f t="shared" ref="B74:AI74" si="5">B70*B68</f>
        <v>19558.310702142666</v>
      </c>
      <c r="C74" s="138">
        <f t="shared" si="5"/>
        <v>16085.339642883686</v>
      </c>
      <c r="D74" s="138">
        <f t="shared" si="5"/>
        <v>14257.46013801054</v>
      </c>
      <c r="E74" s="138">
        <f t="shared" si="5"/>
        <v>12858.123064782434</v>
      </c>
      <c r="F74" s="138">
        <f t="shared" si="5"/>
        <v>12068.520999936707</v>
      </c>
      <c r="G74" s="138">
        <f t="shared" si="5"/>
        <v>11541.941879883378</v>
      </c>
      <c r="H74" s="138">
        <f t="shared" si="5"/>
        <v>11199.810155340376</v>
      </c>
      <c r="I74" s="138">
        <f t="shared" si="5"/>
        <v>10936.550686289216</v>
      </c>
      <c r="J74" s="138">
        <f t="shared" si="5"/>
        <v>10710.382030571642</v>
      </c>
      <c r="K74" s="138">
        <f t="shared" si="5"/>
        <v>10501.754874329841</v>
      </c>
      <c r="L74" s="138">
        <f t="shared" si="5"/>
        <v>10300.052475289738</v>
      </c>
      <c r="M74" s="138">
        <f t="shared" si="5"/>
        <v>10112.096216809174</v>
      </c>
      <c r="N74" s="138">
        <f t="shared" si="5"/>
        <v>9940.6320605521196</v>
      </c>
      <c r="O74" s="138">
        <f t="shared" si="5"/>
        <v>9787.7563470547211</v>
      </c>
      <c r="P74" s="138">
        <f t="shared" si="5"/>
        <v>9674.5266576595204</v>
      </c>
      <c r="Q74" s="138">
        <f t="shared" si="5"/>
        <v>9536.5043248600978</v>
      </c>
      <c r="R74" s="138">
        <f t="shared" si="5"/>
        <v>9440.8681627354308</v>
      </c>
      <c r="S74" s="138">
        <f t="shared" si="5"/>
        <v>9349.8304704767615</v>
      </c>
      <c r="T74" s="138">
        <f t="shared" si="5"/>
        <v>9273.5343533514642</v>
      </c>
      <c r="U74" s="138">
        <f t="shared" si="5"/>
        <v>9207.2084343925762</v>
      </c>
      <c r="V74" s="138">
        <f t="shared" si="5"/>
        <v>9149.6629028119005</v>
      </c>
      <c r="W74" s="138">
        <f t="shared" si="5"/>
        <v>9101.0850459759076</v>
      </c>
      <c r="X74" s="138">
        <f t="shared" si="5"/>
        <v>9055.3311905667833</v>
      </c>
      <c r="Y74" s="138">
        <f t="shared" si="5"/>
        <v>9018.13692864326</v>
      </c>
      <c r="Z74" s="138">
        <f t="shared" si="5"/>
        <v>8982.5880023313948</v>
      </c>
      <c r="AA74" s="138">
        <f t="shared" si="5"/>
        <v>8950.7639943565355</v>
      </c>
      <c r="AB74" s="138">
        <f t="shared" si="5"/>
        <v>8924.0164730200504</v>
      </c>
      <c r="AC74" s="138">
        <f t="shared" si="5"/>
        <v>8897.9140339109363</v>
      </c>
      <c r="AD74" s="138">
        <f t="shared" si="5"/>
        <v>8873.6203311037843</v>
      </c>
      <c r="AE74" s="138">
        <f t="shared" si="5"/>
        <v>8852.3251748105395</v>
      </c>
      <c r="AF74" s="138">
        <f t="shared" si="5"/>
        <v>8830.9665465230883</v>
      </c>
      <c r="AG74" s="138">
        <f t="shared" si="5"/>
        <v>8811.3292171325611</v>
      </c>
      <c r="AH74" s="138">
        <f t="shared" si="5"/>
        <v>8794.20335916351</v>
      </c>
      <c r="AI74" s="138">
        <f t="shared" si="5"/>
        <v>8778.4759387086488</v>
      </c>
    </row>
    <row r="76" spans="1:35" x14ac:dyDescent="0.35">
      <c r="A76" s="1" t="s">
        <v>817</v>
      </c>
    </row>
    <row r="77" spans="1:35" x14ac:dyDescent="0.35">
      <c r="A77" s="121" t="s">
        <v>939</v>
      </c>
      <c r="B77" s="129">
        <f t="shared" ref="B77:C77" si="6">C77</f>
        <v>32.98498612368715</v>
      </c>
      <c r="C77" s="129">
        <f t="shared" si="6"/>
        <v>32.98498612368715</v>
      </c>
      <c r="D77" s="129">
        <f>E77</f>
        <v>32.98498612368715</v>
      </c>
      <c r="E77" s="129">
        <f>'LDV psg battery'!F146</f>
        <v>32.98498612368715</v>
      </c>
      <c r="F77" s="129">
        <f>'LDV psg battery'!G146</f>
        <v>32.98498612368715</v>
      </c>
      <c r="G77" s="129">
        <f>'LDV psg battery'!H146</f>
        <v>34.379401059394453</v>
      </c>
      <c r="H77" s="129">
        <f>'LDV psg battery'!I146</f>
        <v>34.846109396970888</v>
      </c>
      <c r="I77" s="129">
        <f>'LDV psg battery'!J146</f>
        <v>35.184573797067785</v>
      </c>
      <c r="J77" s="129">
        <f>'LDV psg battery'!K146</f>
        <v>35.365571324717877</v>
      </c>
      <c r="K77" s="129">
        <f>'LDV psg battery'!L146</f>
        <v>35.46941519442224</v>
      </c>
      <c r="L77" s="129">
        <f>'LDV psg battery'!M146</f>
        <v>35.527600232379847</v>
      </c>
      <c r="M77" s="129">
        <f>'LDV psg battery'!N146</f>
        <v>35.577080465781634</v>
      </c>
      <c r="N77" s="129">
        <f>'LDV psg battery'!O146</f>
        <v>35.579179673576625</v>
      </c>
      <c r="O77" s="129">
        <f>'LDV psg battery'!P146</f>
        <v>35.21932287996394</v>
      </c>
      <c r="P77" s="129">
        <f>'LDV psg battery'!Q146</f>
        <v>35.262010147352733</v>
      </c>
      <c r="Q77" s="129">
        <f>'LDV psg battery'!R146</f>
        <v>35.177274673731418</v>
      </c>
      <c r="R77" s="129">
        <f>'LDV psg battery'!S146</f>
        <v>35.164331764880238</v>
      </c>
      <c r="S77" s="129">
        <f>'LDV psg battery'!T146</f>
        <v>35.167037917180714</v>
      </c>
      <c r="T77" s="129">
        <f>'LDV psg battery'!U146</f>
        <v>35.18089847042193</v>
      </c>
      <c r="U77" s="129">
        <f>'LDV psg battery'!V146</f>
        <v>35.207640314029646</v>
      </c>
      <c r="V77" s="129">
        <f>'LDV psg battery'!W146</f>
        <v>35.217748357725725</v>
      </c>
      <c r="W77" s="129">
        <f>'LDV psg battery'!X146</f>
        <v>35.268378783298765</v>
      </c>
      <c r="X77" s="129">
        <f>'LDV psg battery'!Y146</f>
        <v>35.288816366334324</v>
      </c>
      <c r="Y77" s="129">
        <f>'LDV psg battery'!Z146</f>
        <v>35.334590061434753</v>
      </c>
      <c r="Z77" s="129">
        <f>'LDV psg battery'!AA146</f>
        <v>35.389704181542427</v>
      </c>
      <c r="AA77" s="129">
        <f>'LDV psg battery'!AB146</f>
        <v>35.423479040900858</v>
      </c>
      <c r="AB77" s="129">
        <f>'LDV psg battery'!AC146</f>
        <v>35.462219319008184</v>
      </c>
      <c r="AC77" s="129">
        <f>'LDV psg battery'!AD146</f>
        <v>35.509306934503286</v>
      </c>
      <c r="AD77" s="129">
        <f>'LDV psg battery'!AE146</f>
        <v>35.546760255525776</v>
      </c>
      <c r="AE77" s="129">
        <f>'LDV psg battery'!AF146</f>
        <v>35.600950271509888</v>
      </c>
      <c r="AF77" s="129">
        <f>'LDV psg battery'!AG146</f>
        <v>35.665974239502034</v>
      </c>
      <c r="AG77" s="129">
        <f>'LDV psg battery'!AH146</f>
        <v>35.726288778454688</v>
      </c>
      <c r="AH77" s="129">
        <f>'LDV psg battery'!AI146</f>
        <v>35.782572341882229</v>
      </c>
      <c r="AI77" s="129" t="e">
        <f>'LDV psg battery'!#REF!</f>
        <v>#REF!</v>
      </c>
    </row>
    <row r="78" spans="1:35" x14ac:dyDescent="0.35">
      <c r="A78" s="121" t="s">
        <v>940</v>
      </c>
      <c r="B78" s="152">
        <f>B77*B68*About!$A$168</f>
        <v>6339.1776852326011</v>
      </c>
      <c r="C78" s="152">
        <f>C77*C68*About!$A$168</f>
        <v>5213.5293112193358</v>
      </c>
      <c r="D78" s="152">
        <f>D77*D68*About!$A$168</f>
        <v>4621.0827985807746</v>
      </c>
      <c r="E78" s="152">
        <f>E77*E68*About!$A$168</f>
        <v>4167.5341008522682</v>
      </c>
      <c r="F78" s="152">
        <f>F77*F68*About!$A$168</f>
        <v>3911.6107818135097</v>
      </c>
      <c r="G78" s="152">
        <f>G77*G68*About!$A$168</f>
        <v>3899.0828889445065</v>
      </c>
      <c r="H78" s="152">
        <f>H77*H68*About!$A$168</f>
        <v>3816.4045355106382</v>
      </c>
      <c r="I78" s="152">
        <f>I77*I68*About!$A$168</f>
        <v>3744.054784601979</v>
      </c>
      <c r="J78" s="152">
        <f>J77*J68*About!$A$168</f>
        <v>3673.111831593334</v>
      </c>
      <c r="K78" s="152">
        <f>K77*K68*About!$A$168</f>
        <v>3603.1420118888864</v>
      </c>
      <c r="L78" s="152">
        <f>L77*L68*About!$A$168</f>
        <v>3535.8462545775192</v>
      </c>
      <c r="M78" s="152">
        <f>M77*M68*About!$A$168</f>
        <v>3474.9776005067565</v>
      </c>
      <c r="N78" s="152">
        <f>N77*N68*About!$A$168</f>
        <v>3416.037943193021</v>
      </c>
      <c r="O78" s="152">
        <f>O77*O68*About!$A$168</f>
        <v>3328.8265108985165</v>
      </c>
      <c r="P78" s="152">
        <f>P77*P68*About!$A$168</f>
        <v>3285.9030433972425</v>
      </c>
      <c r="Q78" s="152">
        <f>Q77*Q68*About!$A$168</f>
        <v>3236.5164947077615</v>
      </c>
      <c r="R78" s="152">
        <f>R77*R68*About!$A$168</f>
        <v>3199.0094352323058</v>
      </c>
      <c r="S78" s="152">
        <f>S77*S68*About!$A$168</f>
        <v>3167.3297884394674</v>
      </c>
      <c r="T78" s="152">
        <f>T77*T68*About!$A$168</f>
        <v>3140.4719482547716</v>
      </c>
      <c r="U78" s="152">
        <f>U77*U68*About!$A$168</f>
        <v>3117.721971283831</v>
      </c>
      <c r="V78" s="152">
        <f>V77*V68*About!$A$168</f>
        <v>3096.3571823245247</v>
      </c>
      <c r="W78" s="152">
        <f>W77*W68*About!$A$168</f>
        <v>3080.948233279023</v>
      </c>
      <c r="X78" s="152">
        <f>X77*X68*About!$A$168</f>
        <v>3064.8177501320588</v>
      </c>
      <c r="Y78" s="152">
        <f>Y77*Y68*About!$A$168</f>
        <v>3052.4521325688283</v>
      </c>
      <c r="Z78" s="152">
        <f>Z77*Z68*About!$A$168</f>
        <v>3042.4863307875144</v>
      </c>
      <c r="AA78" s="152">
        <f>AA77*AA68*About!$A$168</f>
        <v>3032.01660401032</v>
      </c>
      <c r="AB78" s="152">
        <f>AB77*AB68*About!$A$168</f>
        <v>3023.118036743449</v>
      </c>
      <c r="AC78" s="152">
        <f>AC77*AC68*About!$A$168</f>
        <v>3015.9297104783882</v>
      </c>
      <c r="AD78" s="152">
        <f>AD77*AD68*About!$A$168</f>
        <v>3008.7884864873522</v>
      </c>
      <c r="AE78" s="152">
        <f>AE77*AE68*About!$A$168</f>
        <v>3003.8227098060606</v>
      </c>
      <c r="AF78" s="152">
        <f>AF77*AF68*About!$A$168</f>
        <v>3000.4275493726204</v>
      </c>
      <c r="AG78" s="152">
        <f>AG77*AG68*About!$A$168</f>
        <v>2997.2059788137094</v>
      </c>
      <c r="AH78" s="152">
        <f>AH77*AH68*About!$A$168</f>
        <v>2994.1717555264972</v>
      </c>
      <c r="AI78" s="152" t="e">
        <f>AI77*AI68*About!$A$168</f>
        <v>#REF!</v>
      </c>
    </row>
    <row r="80" spans="1:35" x14ac:dyDescent="0.35">
      <c r="A80" s="1" t="s">
        <v>1206</v>
      </c>
    </row>
    <row r="81" spans="1:36" x14ac:dyDescent="0.35">
      <c r="A81"/>
      <c r="B81"/>
      <c r="C81"/>
      <c r="D81"/>
      <c r="E81">
        <v>2020</v>
      </c>
      <c r="F81">
        <v>2021</v>
      </c>
      <c r="G81" s="74">
        <f>'LDV sales'!G1</f>
        <v>2022</v>
      </c>
      <c r="H81" s="74">
        <f>'LDV sales'!H1</f>
        <v>2023</v>
      </c>
      <c r="I81" s="74">
        <f>'LDV sales'!I1</f>
        <v>2024</v>
      </c>
      <c r="J81" s="74">
        <f>'LDV sales'!J1</f>
        <v>2025</v>
      </c>
      <c r="K81" s="74">
        <f>'LDV sales'!K1</f>
        <v>2026</v>
      </c>
      <c r="L81" s="74">
        <f>'LDV sales'!L1</f>
        <v>2027</v>
      </c>
      <c r="M81" s="74">
        <f>'LDV sales'!M1</f>
        <v>2028</v>
      </c>
      <c r="N81" s="74">
        <f>'LDV sales'!N1</f>
        <v>2029</v>
      </c>
      <c r="O81" s="74">
        <f>'LDV sales'!O1</f>
        <v>2030</v>
      </c>
      <c r="P81" s="74">
        <f>'LDV sales'!P1</f>
        <v>2031</v>
      </c>
      <c r="Q81" s="74">
        <f>'LDV sales'!Q1</f>
        <v>2032</v>
      </c>
      <c r="R81" s="74">
        <f>'LDV sales'!R1</f>
        <v>2033</v>
      </c>
      <c r="S81" s="74">
        <f>'LDV sales'!S1</f>
        <v>2034</v>
      </c>
      <c r="T81" s="74">
        <f>'LDV sales'!T1</f>
        <v>2035</v>
      </c>
      <c r="U81" s="74">
        <f>'LDV sales'!U1</f>
        <v>2036</v>
      </c>
      <c r="V81" s="74">
        <f>'LDV sales'!V1</f>
        <v>2037</v>
      </c>
      <c r="W81" s="74">
        <f>'LDV sales'!W1</f>
        <v>2038</v>
      </c>
      <c r="X81" s="74">
        <f>'LDV sales'!X1</f>
        <v>2039</v>
      </c>
      <c r="Y81" s="74">
        <f>'LDV sales'!Y1</f>
        <v>2040</v>
      </c>
      <c r="Z81" s="74">
        <f>'LDV sales'!Z1</f>
        <v>2041</v>
      </c>
      <c r="AA81" s="74">
        <f>'LDV sales'!AA1</f>
        <v>2042</v>
      </c>
      <c r="AB81" s="74">
        <f>'LDV sales'!AB1</f>
        <v>2043</v>
      </c>
      <c r="AC81" s="74">
        <f>'LDV sales'!AC1</f>
        <v>2044</v>
      </c>
      <c r="AD81" s="74">
        <f>'LDV sales'!AD1</f>
        <v>2045</v>
      </c>
      <c r="AE81" s="74">
        <f>'LDV sales'!AE1</f>
        <v>2046</v>
      </c>
      <c r="AF81" s="74">
        <f>'LDV sales'!AF1</f>
        <v>2047</v>
      </c>
      <c r="AG81" s="74">
        <f>'LDV sales'!AG1</f>
        <v>2048</v>
      </c>
      <c r="AH81" s="74">
        <f>'LDV sales'!AH1</f>
        <v>2049</v>
      </c>
      <c r="AI81" s="74">
        <f>'LDV sales'!AI1</f>
        <v>2050</v>
      </c>
      <c r="AJ81"/>
    </row>
    <row r="82" spans="1:36" x14ac:dyDescent="0.35">
      <c r="A82" s="74" t="s">
        <v>1196</v>
      </c>
      <c r="E82" s="161">
        <f>F82</f>
        <v>91.393975243657309</v>
      </c>
      <c r="F82" s="161">
        <f>G82</f>
        <v>91.393975243657309</v>
      </c>
      <c r="G82" s="161">
        <f>'LDV sales'!$F$89*G84+'LDV sales'!$F$90*G85</f>
        <v>91.393975243657309</v>
      </c>
      <c r="H82" s="161">
        <f>'LDV sales'!G89*H84+'LDV sales'!G90*H85</f>
        <v>91.836093085454024</v>
      </c>
      <c r="I82" s="161">
        <f>'LDV sales'!H89*I84+'LDV sales'!H90*I85</f>
        <v>92.298217923212064</v>
      </c>
      <c r="J82" s="161">
        <f>'LDV sales'!I89*J84+'LDV sales'!I90*J85</f>
        <v>92.609243249421723</v>
      </c>
      <c r="K82" s="161">
        <f>'LDV sales'!J89*K84+'LDV sales'!J90*K85</f>
        <v>92.840478821132564</v>
      </c>
      <c r="L82" s="161">
        <f>'LDV sales'!K89*L84+'LDV sales'!K90*L85</f>
        <v>92.942592836269469</v>
      </c>
      <c r="M82" s="161">
        <f>'LDV sales'!L89*M84+'LDV sales'!L90*M85</f>
        <v>92.97417553006062</v>
      </c>
      <c r="N82" s="161">
        <f>'LDV sales'!M89*N84+'LDV sales'!M90*N85</f>
        <v>92.980117351427367</v>
      </c>
      <c r="O82" s="161">
        <f>'LDV sales'!N89*O84+'LDV sales'!N90*O85</f>
        <v>92.998476964544153</v>
      </c>
      <c r="P82" s="161">
        <f>'LDV sales'!O89*P84+'LDV sales'!O90*P85</f>
        <v>93.236270479853701</v>
      </c>
      <c r="Q82" s="161">
        <f>'LDV sales'!P89*Q84+'LDV sales'!P90*Q85</f>
        <v>93.084296584974467</v>
      </c>
      <c r="R82" s="161">
        <f>'LDV sales'!Q89*R84+'LDV sales'!Q90*R85</f>
        <v>93.196934360334069</v>
      </c>
      <c r="S82" s="161">
        <f>'LDV sales'!R89*S84+'LDV sales'!R90*S85</f>
        <v>93.228583742519263</v>
      </c>
      <c r="T82" s="161">
        <f>'LDV sales'!S89*T84+'LDV sales'!S90*T85</f>
        <v>93.295380264033099</v>
      </c>
      <c r="U82" s="161">
        <f>'LDV sales'!T89*U84+'LDV sales'!T90*U85</f>
        <v>93.374944380432709</v>
      </c>
      <c r="V82" s="161">
        <f>'LDV sales'!U89*V84+'LDV sales'!U90*V85</f>
        <v>93.458428172558015</v>
      </c>
      <c r="W82" s="161">
        <f>'LDV sales'!V89*W84+'LDV sales'!V90*W85</f>
        <v>93.561486646567545</v>
      </c>
      <c r="X82" s="161">
        <f>'LDV sales'!W89*X84+'LDV sales'!W90*X85</f>
        <v>93.635303488178835</v>
      </c>
      <c r="Y82" s="161">
        <f>'LDV sales'!X89*Y84+'LDV sales'!X90*Y85</f>
        <v>93.749911445348914</v>
      </c>
      <c r="Z82" s="161">
        <f>'LDV sales'!Y89*Z84+'LDV sales'!Y90*Z85</f>
        <v>93.832356523184089</v>
      </c>
      <c r="AA82" s="161">
        <f>'LDV sales'!Z89*AA84+'LDV sales'!Z90*AA85</f>
        <v>93.912324272748521</v>
      </c>
      <c r="AB82" s="161">
        <f>'LDV sales'!AA89*AB84+'LDV sales'!AA90*AB85</f>
        <v>94.009992125644473</v>
      </c>
      <c r="AC82" s="161">
        <f>'LDV sales'!AB89*AC84+'LDV sales'!AB90*AC85</f>
        <v>94.083189481678772</v>
      </c>
      <c r="AD82" s="161">
        <f>'LDV sales'!AC89*AD84+'LDV sales'!AC90*AD85</f>
        <v>94.148207436547054</v>
      </c>
      <c r="AE82" s="161">
        <f>'LDV sales'!AD89*AE84+'LDV sales'!AD90*AE85</f>
        <v>94.220954323641593</v>
      </c>
      <c r="AF82" s="161">
        <f>'LDV sales'!AE89*AF84+'LDV sales'!AE90*AF85</f>
        <v>94.271850635983711</v>
      </c>
      <c r="AG82" s="161">
        <f>'LDV sales'!AF89*AG84+'LDV sales'!AF90*AG85</f>
        <v>94.322561906243479</v>
      </c>
      <c r="AH82" s="161">
        <f>'LDV sales'!AG89*AH84+'LDV sales'!AG90*AH85</f>
        <v>94.38309157863992</v>
      </c>
      <c r="AI82" s="161">
        <f>'LDV sales'!AH89*AI84+'LDV sales'!AH90*AI85</f>
        <v>94.443692216518599</v>
      </c>
    </row>
    <row r="84" spans="1:36" x14ac:dyDescent="0.35">
      <c r="A84" s="74" t="s">
        <v>794</v>
      </c>
      <c r="E84" s="161">
        <f>F84</f>
        <v>81.96117016956471</v>
      </c>
      <c r="F84" s="161">
        <f>G84</f>
        <v>81.96117016956471</v>
      </c>
      <c r="G84" s="161">
        <f t="shared" ref="G84:AI84" si="7">G88*$B$97+G89*$C$97</f>
        <v>81.96117016956471</v>
      </c>
      <c r="H84" s="161">
        <f t="shared" si="7"/>
        <v>82.122718666843326</v>
      </c>
      <c r="I84" s="161">
        <f t="shared" si="7"/>
        <v>82.132993961265228</v>
      </c>
      <c r="J84" s="161">
        <f t="shared" si="7"/>
        <v>82.128638915887905</v>
      </c>
      <c r="K84" s="161">
        <f t="shared" si="7"/>
        <v>82.026054310381127</v>
      </c>
      <c r="L84" s="161">
        <f t="shared" si="7"/>
        <v>81.959001484083643</v>
      </c>
      <c r="M84" s="161">
        <f t="shared" si="7"/>
        <v>81.871405279856376</v>
      </c>
      <c r="N84" s="161">
        <f t="shared" si="7"/>
        <v>81.781236482435247</v>
      </c>
      <c r="O84" s="161">
        <f t="shared" si="7"/>
        <v>81.790471377901341</v>
      </c>
      <c r="P84" s="161">
        <f t="shared" si="7"/>
        <v>81.700304775183696</v>
      </c>
      <c r="Q84" s="161">
        <f t="shared" si="7"/>
        <v>81.723800064427735</v>
      </c>
      <c r="R84" s="161">
        <f t="shared" si="7"/>
        <v>81.677203386441747</v>
      </c>
      <c r="S84" s="161">
        <f t="shared" si="7"/>
        <v>81.662151905543084</v>
      </c>
      <c r="T84" s="161">
        <f t="shared" si="7"/>
        <v>81.640743127377405</v>
      </c>
      <c r="U84" s="161">
        <f t="shared" si="7"/>
        <v>81.620372393092566</v>
      </c>
      <c r="V84" s="161">
        <f t="shared" si="7"/>
        <v>81.603630675283753</v>
      </c>
      <c r="W84" s="161">
        <f t="shared" si="7"/>
        <v>81.590367755931069</v>
      </c>
      <c r="X84" s="161">
        <f t="shared" si="7"/>
        <v>81.586036980009467</v>
      </c>
      <c r="Y84" s="161">
        <f t="shared" si="7"/>
        <v>81.577132155650673</v>
      </c>
      <c r="Z84" s="161">
        <f t="shared" si="7"/>
        <v>81.578426688649756</v>
      </c>
      <c r="AA84" s="161">
        <f t="shared" si="7"/>
        <v>81.579886860884599</v>
      </c>
      <c r="AB84" s="161">
        <f t="shared" si="7"/>
        <v>81.582601647776485</v>
      </c>
      <c r="AC84" s="161">
        <f t="shared" si="7"/>
        <v>81.592850217708943</v>
      </c>
      <c r="AD84" s="161">
        <f t="shared" si="7"/>
        <v>81.605353495544989</v>
      </c>
      <c r="AE84" s="161">
        <f t="shared" si="7"/>
        <v>81.621934198694987</v>
      </c>
      <c r="AF84" s="161">
        <f t="shared" si="7"/>
        <v>81.642809816503004</v>
      </c>
      <c r="AG84" s="161">
        <f t="shared" si="7"/>
        <v>81.659967578113339</v>
      </c>
      <c r="AH84" s="161">
        <f t="shared" si="7"/>
        <v>81.677967170173645</v>
      </c>
      <c r="AI84" s="161">
        <f t="shared" si="7"/>
        <v>81.703949497929329</v>
      </c>
    </row>
    <row r="85" spans="1:36" x14ac:dyDescent="0.35">
      <c r="A85" s="74" t="s">
        <v>783</v>
      </c>
      <c r="E85" s="161">
        <f>F85</f>
        <v>98.592537247826215</v>
      </c>
      <c r="F85" s="161">
        <f>G85</f>
        <v>98.592537247826215</v>
      </c>
      <c r="G85" s="161">
        <f t="shared" ref="G85:AI85" si="8">G92*$B$98+G93*$C$98</f>
        <v>98.592537247826215</v>
      </c>
      <c r="H85" s="161">
        <f t="shared" si="8"/>
        <v>98.676791834913061</v>
      </c>
      <c r="I85" s="161">
        <f t="shared" si="8"/>
        <v>98.848224940629819</v>
      </c>
      <c r="J85" s="161">
        <f t="shared" si="8"/>
        <v>98.994471203307256</v>
      </c>
      <c r="K85" s="161">
        <f t="shared" si="8"/>
        <v>99.070059122980993</v>
      </c>
      <c r="L85" s="161">
        <f t="shared" si="8"/>
        <v>99.083966391187232</v>
      </c>
      <c r="M85" s="161">
        <f t="shared" si="8"/>
        <v>99.082173705466843</v>
      </c>
      <c r="N85" s="161">
        <f t="shared" si="8"/>
        <v>99.094047503005143</v>
      </c>
      <c r="O85" s="161">
        <f t="shared" si="8"/>
        <v>99.076076037824947</v>
      </c>
      <c r="P85" s="161">
        <f t="shared" si="8"/>
        <v>99.499001307192231</v>
      </c>
      <c r="Q85" s="161">
        <f t="shared" si="8"/>
        <v>99.732522401056258</v>
      </c>
      <c r="R85" s="161">
        <f t="shared" si="8"/>
        <v>99.947066984016473</v>
      </c>
      <c r="S85" s="161">
        <f t="shared" si="8"/>
        <v>100.10620758606255</v>
      </c>
      <c r="T85" s="161">
        <f t="shared" si="8"/>
        <v>100.24334529975653</v>
      </c>
      <c r="U85" s="161">
        <f t="shared" si="8"/>
        <v>100.37482914032519</v>
      </c>
      <c r="V85" s="161">
        <f t="shared" si="8"/>
        <v>100.49636117057648</v>
      </c>
      <c r="W85" s="161">
        <f t="shared" si="8"/>
        <v>100.63320171058508</v>
      </c>
      <c r="X85" s="161">
        <f t="shared" si="8"/>
        <v>100.73899855681766</v>
      </c>
      <c r="Y85" s="161">
        <f t="shared" si="8"/>
        <v>100.86115529863224</v>
      </c>
      <c r="Z85" s="161">
        <f t="shared" si="8"/>
        <v>100.96456340126805</v>
      </c>
      <c r="AA85" s="161">
        <f t="shared" si="8"/>
        <v>101.04548587895037</v>
      </c>
      <c r="AB85" s="161">
        <f t="shared" si="8"/>
        <v>101.13883367286921</v>
      </c>
      <c r="AC85" s="161">
        <f t="shared" si="8"/>
        <v>101.21908354746623</v>
      </c>
      <c r="AD85" s="161">
        <f t="shared" si="8"/>
        <v>101.28207725362354</v>
      </c>
      <c r="AE85" s="161">
        <f t="shared" si="8"/>
        <v>101.34185418883781</v>
      </c>
      <c r="AF85" s="161">
        <f t="shared" si="8"/>
        <v>101.37357064235159</v>
      </c>
      <c r="AG85" s="161">
        <f t="shared" si="8"/>
        <v>101.38548015210118</v>
      </c>
      <c r="AH85" s="161">
        <f t="shared" si="8"/>
        <v>101.39349160650823</v>
      </c>
      <c r="AI85" s="161">
        <f t="shared" si="8"/>
        <v>101.40211847513194</v>
      </c>
    </row>
    <row r="87" spans="1:36" x14ac:dyDescent="0.35">
      <c r="A87" s="74" t="str">
        <f>'LDV sales'!A1</f>
        <v>Cars</v>
      </c>
    </row>
    <row r="88" spans="1:36" x14ac:dyDescent="0.35">
      <c r="A88" t="str">
        <f>'LDV sales'!A2</f>
        <v>Share of 200 mile BEVs</v>
      </c>
      <c r="B88"/>
      <c r="C88"/>
      <c r="D88"/>
      <c r="E88">
        <f>F88</f>
        <v>0.15130046796044519</v>
      </c>
      <c r="F88">
        <f>'LDV sales'!F2</f>
        <v>0.15130046796044519</v>
      </c>
      <c r="G88" s="74">
        <f>'LDV sales'!G2</f>
        <v>0.13724976485171977</v>
      </c>
      <c r="H88" s="74">
        <f>'LDV sales'!H2</f>
        <v>0.13160717827547364</v>
      </c>
      <c r="I88" s="74">
        <f>'LDV sales'!I2</f>
        <v>0.13124828147761605</v>
      </c>
      <c r="J88" s="74">
        <f>'LDV sales'!J2</f>
        <v>0.13140039505959955</v>
      </c>
      <c r="K88" s="74">
        <f>'LDV sales'!K2</f>
        <v>0.13498348328210213</v>
      </c>
      <c r="L88" s="74">
        <f>'LDV sales'!L2</f>
        <v>0.13732551297559412</v>
      </c>
      <c r="M88" s="74">
        <f>'LDV sales'!M2</f>
        <v>0.14038508440107439</v>
      </c>
      <c r="N88" s="74">
        <f>'LDV sales'!N2</f>
        <v>0.14353451169068393</v>
      </c>
      <c r="O88" s="74">
        <f>'LDV sales'!O2</f>
        <v>0.14321195408063009</v>
      </c>
      <c r="P88" s="74">
        <f>'LDV sales'!P2</f>
        <v>0.14636130471335548</v>
      </c>
      <c r="Q88" s="74">
        <f>'LDV sales'!Q2</f>
        <v>0.14554065824541132</v>
      </c>
      <c r="R88" s="74">
        <f>'LDV sales'!R2</f>
        <v>0.14716819297418005</v>
      </c>
      <c r="S88" s="74">
        <f>'LDV sales'!S2</f>
        <v>0.14769391302420928</v>
      </c>
      <c r="T88" s="74">
        <f>'LDV sales'!T2</f>
        <v>0.14844168156632792</v>
      </c>
      <c r="U88" s="74">
        <f>'LDV sales'!U2</f>
        <v>0.14915319317900294</v>
      </c>
      <c r="V88" s="74">
        <f>'LDV sales'!V2</f>
        <v>0.14973795004002399</v>
      </c>
      <c r="W88" s="74">
        <f>'LDV sales'!W2</f>
        <v>0.15020119898360387</v>
      </c>
      <c r="X88" s="74">
        <f>'LDV sales'!X2</f>
        <v>0.15035246487893333</v>
      </c>
      <c r="Y88" s="74">
        <f>'LDV sales'!Y2</f>
        <v>0.15066349372313306</v>
      </c>
      <c r="Z88" s="74">
        <f>'LDV sales'!Z2</f>
        <v>0.15061827810895989</v>
      </c>
      <c r="AA88" s="74">
        <f>'LDV sales'!AA2</f>
        <v>0.15056727702637415</v>
      </c>
      <c r="AB88" s="74">
        <f>'LDV sales'!AB2</f>
        <v>0.15047245460257222</v>
      </c>
      <c r="AC88" s="74">
        <f>'LDV sales'!AC2</f>
        <v>0.15011449124110063</v>
      </c>
      <c r="AD88" s="74">
        <f>'LDV sales'!AD2</f>
        <v>0.14967777515357689</v>
      </c>
      <c r="AE88" s="74">
        <f>'LDV sales'!AE2</f>
        <v>0.14909864223315417</v>
      </c>
      <c r="AF88" s="74">
        <f>'LDV sales'!AF2</f>
        <v>0.14836949598420374</v>
      </c>
      <c r="AG88" s="74">
        <f>'LDV sales'!AG2</f>
        <v>0.14777020749206771</v>
      </c>
      <c r="AH88" s="74">
        <f>'LDV sales'!AH2</f>
        <v>0.14714151543829854</v>
      </c>
      <c r="AI88" s="74">
        <f>'LDV sales'!AI2</f>
        <v>0.1462340013711077</v>
      </c>
      <c r="AJ88"/>
    </row>
    <row r="89" spans="1:36" x14ac:dyDescent="0.35">
      <c r="A89" t="str">
        <f>'LDV sales'!A3</f>
        <v>Share of 300 mile BEVs</v>
      </c>
      <c r="B89"/>
      <c r="C89"/>
      <c r="D89"/>
      <c r="E89" s="74">
        <f>F89</f>
        <v>0.84869953203955484</v>
      </c>
      <c r="F89">
        <f>'LDV sales'!F3</f>
        <v>0.84869953203955484</v>
      </c>
      <c r="G89" s="74">
        <f>'LDV sales'!G3</f>
        <v>0.8627502351482802</v>
      </c>
      <c r="H89" s="74">
        <f>'LDV sales'!H3</f>
        <v>0.86839282172452636</v>
      </c>
      <c r="I89" s="74">
        <f>'LDV sales'!I3</f>
        <v>0.86875171852238398</v>
      </c>
      <c r="J89" s="74">
        <f>'LDV sales'!J3</f>
        <v>0.86859960494040045</v>
      </c>
      <c r="K89" s="74">
        <f>'LDV sales'!K3</f>
        <v>0.86501651671789781</v>
      </c>
      <c r="L89" s="74">
        <f>'LDV sales'!L3</f>
        <v>0.86267448702440586</v>
      </c>
      <c r="M89" s="74">
        <f>'LDV sales'!M3</f>
        <v>0.85961491559892567</v>
      </c>
      <c r="N89" s="74">
        <f>'LDV sales'!N3</f>
        <v>0.85646548830931613</v>
      </c>
      <c r="O89" s="74">
        <f>'LDV sales'!O3</f>
        <v>0.85678804591936997</v>
      </c>
      <c r="P89" s="74">
        <f>'LDV sales'!P3</f>
        <v>0.85363869528664449</v>
      </c>
      <c r="Q89" s="74">
        <f>'LDV sales'!Q3</f>
        <v>0.85445934175458871</v>
      </c>
      <c r="R89" s="74">
        <f>'LDV sales'!R3</f>
        <v>0.85283180702581995</v>
      </c>
      <c r="S89" s="74">
        <f>'LDV sales'!S3</f>
        <v>0.85230608697579069</v>
      </c>
      <c r="T89" s="74">
        <f>'LDV sales'!T3</f>
        <v>0.85155831843367213</v>
      </c>
      <c r="U89" s="74">
        <f>'LDV sales'!U3</f>
        <v>0.85084680682099711</v>
      </c>
      <c r="V89" s="74">
        <f>'LDV sales'!V3</f>
        <v>0.85026204995997601</v>
      </c>
      <c r="W89" s="74">
        <f>'LDV sales'!W3</f>
        <v>0.84979880101639615</v>
      </c>
      <c r="X89" s="74">
        <f>'LDV sales'!X3</f>
        <v>0.84964753512106661</v>
      </c>
      <c r="Y89" s="74">
        <f>'LDV sales'!Y3</f>
        <v>0.84933650627686696</v>
      </c>
      <c r="Z89" s="74">
        <f>'LDV sales'!Z3</f>
        <v>0.84938172189104011</v>
      </c>
      <c r="AA89" s="74">
        <f>'LDV sales'!AA3</f>
        <v>0.84943272297362582</v>
      </c>
      <c r="AB89" s="74">
        <f>'LDV sales'!AB3</f>
        <v>0.84952754539742781</v>
      </c>
      <c r="AC89" s="74">
        <f>'LDV sales'!AC3</f>
        <v>0.84988550875889934</v>
      </c>
      <c r="AD89" s="74">
        <f>'LDV sales'!AD3</f>
        <v>0.85032222484642306</v>
      </c>
      <c r="AE89" s="74">
        <f>'LDV sales'!AE3</f>
        <v>0.85090135776684583</v>
      </c>
      <c r="AF89" s="74">
        <f>'LDV sales'!AF3</f>
        <v>0.85163050401579632</v>
      </c>
      <c r="AG89" s="74">
        <f>'LDV sales'!AG3</f>
        <v>0.85222979250793229</v>
      </c>
      <c r="AH89" s="74">
        <f>'LDV sales'!AH3</f>
        <v>0.85285848456170144</v>
      </c>
      <c r="AI89" s="74">
        <f>'LDV sales'!AI3</f>
        <v>0.85376599862889235</v>
      </c>
      <c r="AJ89"/>
    </row>
    <row r="90" spans="1:36" x14ac:dyDescent="0.35">
      <c r="A90"/>
      <c r="B90"/>
      <c r="C90"/>
      <c r="D90"/>
      <c r="F90"/>
      <c r="AJ90"/>
    </row>
    <row r="91" spans="1:36" x14ac:dyDescent="0.35">
      <c r="A91" t="str">
        <f>'LDV sales'!A5</f>
        <v>Light trucks</v>
      </c>
      <c r="B91"/>
      <c r="C91"/>
      <c r="D91"/>
      <c r="F91"/>
      <c r="AJ91"/>
    </row>
    <row r="92" spans="1:36" x14ac:dyDescent="0.35">
      <c r="A92" t="str">
        <f>'LDV sales'!A6</f>
        <v>Share of 200 mile BEVs</v>
      </c>
      <c r="B92"/>
      <c r="C92"/>
      <c r="D92"/>
      <c r="E92" s="74">
        <f>F92</f>
        <v>0.17638783803099492</v>
      </c>
      <c r="F92">
        <f>'LDV sales'!F6</f>
        <v>0.17638783803099492</v>
      </c>
      <c r="G92" s="74">
        <f>'LDV sales'!G6</f>
        <v>0.20760750623465041</v>
      </c>
      <c r="H92" s="74">
        <f>'LDV sales'!H6</f>
        <v>0.20522120111345094</v>
      </c>
      <c r="I92" s="74">
        <f>'LDV sales'!I6</f>
        <v>0.20036577766103439</v>
      </c>
      <c r="J92" s="74">
        <f>'LDV sales'!J6</f>
        <v>0.19622370993926322</v>
      </c>
      <c r="K92" s="74">
        <f>'LDV sales'!K6</f>
        <v>0.19408286697682137</v>
      </c>
      <c r="L92" s="74">
        <f>'LDV sales'!L6</f>
        <v>0.19368897761732276</v>
      </c>
      <c r="M92" s="74">
        <f>'LDV sales'!M6</f>
        <v>0.19373975105605365</v>
      </c>
      <c r="N92" s="74">
        <f>'LDV sales'!N6</f>
        <v>0.19340345478004789</v>
      </c>
      <c r="O92" s="74">
        <f>'LDV sales'!O6</f>
        <v>0.1939124525791914</v>
      </c>
      <c r="P92" s="74">
        <f>'LDV sales'!P6</f>
        <v>0.18193412865558309</v>
      </c>
      <c r="Q92" s="74">
        <f>'LDV sales'!Q6</f>
        <v>0.17532021478497559</v>
      </c>
      <c r="R92" s="74">
        <f>'LDV sales'!R6</f>
        <v>0.1692437641756338</v>
      </c>
      <c r="S92" s="74">
        <f>'LDV sales'!S6</f>
        <v>0.16473649582641009</v>
      </c>
      <c r="T92" s="74">
        <f>'LDV sales'!T6</f>
        <v>0.16085240547818663</v>
      </c>
      <c r="U92" s="74">
        <f>'LDV sales'!U6</f>
        <v>0.1571284472587878</v>
      </c>
      <c r="V92" s="74">
        <f>'LDV sales'!V6</f>
        <v>0.15368634972788942</v>
      </c>
      <c r="W92" s="74">
        <f>'LDV sales'!W6</f>
        <v>0.1498106760975178</v>
      </c>
      <c r="X92" s="74">
        <f>'LDV sales'!X6</f>
        <v>0.14681423917104616</v>
      </c>
      <c r="Y92" s="74">
        <f>'LDV sales'!Y6</f>
        <v>0.1433544482129499</v>
      </c>
      <c r="Z92" s="74">
        <f>'LDV sales'!Z6</f>
        <v>0.14042566660680297</v>
      </c>
      <c r="AA92" s="74">
        <f>'LDV sales'!AA6</f>
        <v>0.13813373533528081</v>
      </c>
      <c r="AB92" s="74">
        <f>'LDV sales'!AB6</f>
        <v>0.13548988736945236</v>
      </c>
      <c r="AC92" s="74">
        <f>'LDV sales'!AC6</f>
        <v>0.13321700593536343</v>
      </c>
      <c r="AD92" s="74">
        <f>'LDV sales'!AD6</f>
        <v>0.13143286326961573</v>
      </c>
      <c r="AE92" s="74">
        <f>'LDV sales'!AE6</f>
        <v>0.12973982777370344</v>
      </c>
      <c r="AF92" s="74">
        <f>'LDV sales'!AF6</f>
        <v>0.12884153679557289</v>
      </c>
      <c r="AG92" s="74">
        <f>'LDV sales'!AG6</f>
        <v>0.12850422905852163</v>
      </c>
      <c r="AH92" s="74">
        <f>'LDV sales'!AH6</f>
        <v>0.12827732420573199</v>
      </c>
      <c r="AI92" s="74">
        <f>'LDV sales'!AI6</f>
        <v>0.12803298925034923</v>
      </c>
      <c r="AJ92"/>
    </row>
    <row r="93" spans="1:36" x14ac:dyDescent="0.35">
      <c r="A93" t="str">
        <f>'LDV sales'!A7</f>
        <v>Share of 300 mile BEVs</v>
      </c>
      <c r="B93"/>
      <c r="C93"/>
      <c r="D93"/>
      <c r="E93" s="74">
        <f>F93</f>
        <v>0.82361216196900511</v>
      </c>
      <c r="F93">
        <f>'LDV sales'!F7</f>
        <v>0.82361216196900511</v>
      </c>
      <c r="G93" s="74">
        <f>'LDV sales'!G7</f>
        <v>0.79239249376534959</v>
      </c>
      <c r="H93" s="74">
        <f>'LDV sales'!H7</f>
        <v>0.79477879888654912</v>
      </c>
      <c r="I93" s="74">
        <f>'LDV sales'!I7</f>
        <v>0.79963422233896564</v>
      </c>
      <c r="J93" s="74">
        <f>'LDV sales'!J7</f>
        <v>0.80377629006073681</v>
      </c>
      <c r="K93" s="74">
        <f>'LDV sales'!K7</f>
        <v>0.80591713302317869</v>
      </c>
      <c r="L93" s="74">
        <f>'LDV sales'!L7</f>
        <v>0.80631102238267727</v>
      </c>
      <c r="M93" s="74">
        <f>'LDV sales'!M7</f>
        <v>0.80626024894394632</v>
      </c>
      <c r="N93" s="74">
        <f>'LDV sales'!N7</f>
        <v>0.80659654521995217</v>
      </c>
      <c r="O93" s="74">
        <f>'LDV sales'!O7</f>
        <v>0.80608754742080857</v>
      </c>
      <c r="P93" s="74">
        <f>'LDV sales'!P7</f>
        <v>0.81806587134441688</v>
      </c>
      <c r="Q93" s="74">
        <f>'LDV sales'!Q7</f>
        <v>0.82467978521502439</v>
      </c>
      <c r="R93" s="74">
        <f>'LDV sales'!R7</f>
        <v>0.8307562358243662</v>
      </c>
      <c r="S93" s="74">
        <f>'LDV sales'!S7</f>
        <v>0.83526350417358985</v>
      </c>
      <c r="T93" s="74">
        <f>'LDV sales'!T7</f>
        <v>0.83914759452181342</v>
      </c>
      <c r="U93" s="74">
        <f>'LDV sales'!U7</f>
        <v>0.84287155274121217</v>
      </c>
      <c r="V93" s="74">
        <f>'LDV sales'!V7</f>
        <v>0.84631365027211058</v>
      </c>
      <c r="W93" s="74">
        <f>'LDV sales'!W7</f>
        <v>0.85018932390248225</v>
      </c>
      <c r="X93" s="74">
        <f>'LDV sales'!X7</f>
        <v>0.85318576082895381</v>
      </c>
      <c r="Y93" s="74">
        <f>'LDV sales'!Y7</f>
        <v>0.85664555178705015</v>
      </c>
      <c r="Z93" s="74">
        <f>'LDV sales'!Z7</f>
        <v>0.859574333393197</v>
      </c>
      <c r="AA93" s="74">
        <f>'LDV sales'!AA7</f>
        <v>0.86186626466471916</v>
      </c>
      <c r="AB93" s="74">
        <f>'LDV sales'!AB7</f>
        <v>0.86451011263054767</v>
      </c>
      <c r="AC93" s="74">
        <f>'LDV sales'!AC7</f>
        <v>0.86678299406463655</v>
      </c>
      <c r="AD93" s="74">
        <f>'LDV sales'!AD7</f>
        <v>0.86856713673038421</v>
      </c>
      <c r="AE93" s="74">
        <f>'LDV sales'!AE7</f>
        <v>0.87026017222629659</v>
      </c>
      <c r="AF93" s="74">
        <f>'LDV sales'!AF7</f>
        <v>0.87115846320442714</v>
      </c>
      <c r="AG93" s="74">
        <f>'LDV sales'!AG7</f>
        <v>0.87149577094147834</v>
      </c>
      <c r="AH93" s="74">
        <f>'LDV sales'!AH7</f>
        <v>0.87172267579426799</v>
      </c>
      <c r="AI93" s="74">
        <f>'LDV sales'!AI7</f>
        <v>0.87196701074965077</v>
      </c>
      <c r="AJ93"/>
    </row>
    <row r="94" spans="1:36" x14ac:dyDescent="0.35">
      <c r="A94"/>
      <c r="B94"/>
      <c r="C94"/>
      <c r="D94"/>
      <c r="E94"/>
      <c r="F94"/>
      <c r="G94"/>
      <c r="H94"/>
      <c r="I94"/>
      <c r="J94"/>
      <c r="K94"/>
      <c r="L94"/>
      <c r="M94"/>
      <c r="N94"/>
      <c r="O94"/>
      <c r="P94"/>
      <c r="Q94"/>
      <c r="R94"/>
      <c r="S94"/>
      <c r="T94"/>
      <c r="U94"/>
      <c r="V94"/>
      <c r="W94"/>
      <c r="X94"/>
      <c r="Y94"/>
      <c r="Z94"/>
      <c r="AA94"/>
      <c r="AB94"/>
      <c r="AC94"/>
      <c r="AD94"/>
      <c r="AE94"/>
      <c r="AF94"/>
      <c r="AG94"/>
      <c r="AH94"/>
      <c r="AI94"/>
      <c r="AJ94"/>
    </row>
    <row r="95" spans="1:36" x14ac:dyDescent="0.35">
      <c r="A95"/>
      <c r="B95"/>
      <c r="C95"/>
      <c r="D95"/>
      <c r="E95"/>
      <c r="F95"/>
      <c r="G95"/>
      <c r="H95"/>
      <c r="I95"/>
      <c r="J95"/>
      <c r="K95"/>
      <c r="L95"/>
      <c r="M95"/>
      <c r="N95"/>
      <c r="O95"/>
      <c r="P95"/>
      <c r="Q95"/>
      <c r="R95"/>
      <c r="S95"/>
      <c r="T95"/>
      <c r="U95"/>
      <c r="V95"/>
      <c r="W95"/>
      <c r="X95"/>
      <c r="Y95"/>
      <c r="Z95"/>
      <c r="AA95"/>
      <c r="AB95"/>
      <c r="AC95"/>
      <c r="AD95"/>
      <c r="AE95"/>
      <c r="AF95"/>
      <c r="AG95"/>
      <c r="AH95"/>
      <c r="AI95"/>
      <c r="AJ95"/>
    </row>
    <row r="96" spans="1:36" x14ac:dyDescent="0.35">
      <c r="B96" s="74" t="s">
        <v>847</v>
      </c>
      <c r="C96" s="74" t="s">
        <v>1193</v>
      </c>
      <c r="G96"/>
      <c r="H96"/>
      <c r="I96"/>
      <c r="J96"/>
      <c r="K96"/>
      <c r="L96"/>
      <c r="M96"/>
      <c r="N96"/>
      <c r="O96"/>
      <c r="P96"/>
      <c r="Q96"/>
      <c r="R96"/>
      <c r="S96"/>
      <c r="T96"/>
      <c r="U96"/>
      <c r="V96"/>
      <c r="W96"/>
      <c r="X96"/>
      <c r="Y96"/>
      <c r="Z96"/>
      <c r="AA96"/>
      <c r="AB96"/>
      <c r="AC96"/>
      <c r="AD96"/>
      <c r="AE96"/>
      <c r="AF96"/>
      <c r="AG96"/>
      <c r="AH96"/>
      <c r="AI96"/>
      <c r="AJ96"/>
    </row>
    <row r="97" spans="1:36" x14ac:dyDescent="0.35">
      <c r="A97" s="74" t="s">
        <v>794</v>
      </c>
      <c r="B97" s="98">
        <f>B101*C101+B102*C102+B103*C103</f>
        <v>57.260440791000008</v>
      </c>
      <c r="C97" s="98">
        <f>B101*D101+B102*D102+B103*D103</f>
        <v>85.890661186499997</v>
      </c>
      <c r="G97"/>
      <c r="H97"/>
      <c r="I97"/>
      <c r="J97"/>
      <c r="K97"/>
      <c r="L97"/>
      <c r="M97"/>
      <c r="N97"/>
      <c r="O97"/>
      <c r="P97"/>
      <c r="Q97"/>
      <c r="R97"/>
      <c r="S97"/>
      <c r="T97"/>
      <c r="U97"/>
      <c r="V97"/>
      <c r="W97"/>
      <c r="X97"/>
      <c r="Y97"/>
      <c r="Z97"/>
      <c r="AA97"/>
      <c r="AB97"/>
      <c r="AC97"/>
      <c r="AD97"/>
      <c r="AE97"/>
      <c r="AF97"/>
      <c r="AG97"/>
      <c r="AH97"/>
      <c r="AI97"/>
      <c r="AJ97"/>
    </row>
    <row r="98" spans="1:36" x14ac:dyDescent="0.35">
      <c r="A98" s="74" t="s">
        <v>876</v>
      </c>
      <c r="B98" s="98">
        <f>B106*C106+B107*C107+B108*C108</f>
        <v>70.615099752600287</v>
      </c>
      <c r="C98" s="98">
        <f>B106*D106+B107*D107+B108*D108</f>
        <v>105.92264962890044</v>
      </c>
      <c r="G98"/>
      <c r="H98"/>
      <c r="I98"/>
      <c r="J98"/>
      <c r="K98"/>
      <c r="L98"/>
      <c r="M98"/>
      <c r="N98"/>
      <c r="O98"/>
      <c r="P98"/>
      <c r="Q98"/>
      <c r="R98"/>
      <c r="S98"/>
      <c r="T98"/>
      <c r="U98"/>
      <c r="V98"/>
      <c r="W98"/>
      <c r="X98"/>
      <c r="Y98"/>
      <c r="Z98"/>
      <c r="AA98"/>
      <c r="AB98"/>
      <c r="AC98"/>
      <c r="AD98"/>
      <c r="AE98"/>
      <c r="AF98"/>
      <c r="AG98"/>
      <c r="AH98"/>
      <c r="AI98"/>
      <c r="AJ98"/>
    </row>
    <row r="99" spans="1:36" x14ac:dyDescent="0.35">
      <c r="G99"/>
      <c r="H99"/>
      <c r="I99"/>
      <c r="J99"/>
      <c r="K99"/>
      <c r="L99"/>
      <c r="M99"/>
      <c r="N99"/>
      <c r="O99"/>
      <c r="P99"/>
      <c r="Q99"/>
      <c r="R99"/>
      <c r="S99"/>
      <c r="T99"/>
      <c r="U99"/>
      <c r="V99"/>
      <c r="W99"/>
      <c r="X99"/>
      <c r="Y99"/>
      <c r="Z99"/>
      <c r="AA99"/>
      <c r="AB99"/>
      <c r="AC99"/>
      <c r="AD99"/>
      <c r="AE99"/>
      <c r="AF99"/>
      <c r="AG99"/>
      <c r="AH99"/>
      <c r="AI99"/>
      <c r="AJ99"/>
    </row>
    <row r="100" spans="1:36" x14ac:dyDescent="0.35">
      <c r="A100" s="74" t="s">
        <v>889</v>
      </c>
      <c r="B100" s="74" t="s">
        <v>1037</v>
      </c>
      <c r="C100" s="74" t="s">
        <v>847</v>
      </c>
      <c r="D100" s="74" t="s">
        <v>1193</v>
      </c>
      <c r="G100"/>
      <c r="H100"/>
      <c r="I100"/>
      <c r="J100"/>
      <c r="K100"/>
      <c r="L100"/>
      <c r="M100"/>
      <c r="N100"/>
      <c r="O100"/>
      <c r="P100"/>
      <c r="Q100"/>
      <c r="R100"/>
      <c r="S100"/>
      <c r="T100"/>
      <c r="U100"/>
      <c r="V100"/>
      <c r="W100"/>
      <c r="X100"/>
      <c r="Y100"/>
      <c r="Z100"/>
      <c r="AA100"/>
      <c r="AB100"/>
      <c r="AC100"/>
      <c r="AD100"/>
      <c r="AE100"/>
      <c r="AF100"/>
      <c r="AG100"/>
      <c r="AH100"/>
      <c r="AI100"/>
      <c r="AJ100"/>
    </row>
    <row r="101" spans="1:36" x14ac:dyDescent="0.35">
      <c r="A101" s="74" t="s">
        <v>973</v>
      </c>
      <c r="B101" s="75">
        <f>('LDV sales'!E61+'LDV sales'!E62+'LDV sales'!E63+'LDV sales'!E66)/100</f>
        <v>0.19027989433333331</v>
      </c>
      <c r="C101" s="4">
        <f>Car!B2</f>
        <v>56</v>
      </c>
      <c r="D101" s="4">
        <f>Car!C2</f>
        <v>84</v>
      </c>
      <c r="G101"/>
      <c r="H101"/>
      <c r="I101"/>
      <c r="J101"/>
      <c r="K101"/>
      <c r="L101"/>
      <c r="M101"/>
      <c r="N101"/>
      <c r="O101"/>
      <c r="P101"/>
      <c r="Q101"/>
      <c r="R101"/>
      <c r="S101"/>
      <c r="T101"/>
      <c r="U101"/>
      <c r="V101"/>
      <c r="W101"/>
      <c r="X101"/>
      <c r="Y101"/>
      <c r="Z101"/>
      <c r="AA101"/>
      <c r="AB101"/>
      <c r="AC101"/>
      <c r="AD101"/>
      <c r="AE101"/>
      <c r="AF101"/>
      <c r="AG101"/>
      <c r="AH101"/>
      <c r="AI101"/>
      <c r="AJ101"/>
    </row>
    <row r="102" spans="1:36" x14ac:dyDescent="0.35">
      <c r="A102" s="74" t="s">
        <v>977</v>
      </c>
      <c r="B102" s="75">
        <f>('LDV sales'!E67+'LDV sales'!E68)/100</f>
        <v>0.38957317533333347</v>
      </c>
      <c r="C102" s="4">
        <f>Car!B3</f>
        <v>56</v>
      </c>
      <c r="D102" s="4">
        <f>Car!C3</f>
        <v>84</v>
      </c>
      <c r="G102"/>
      <c r="H102"/>
      <c r="I102"/>
      <c r="J102"/>
      <c r="K102"/>
      <c r="L102"/>
      <c r="M102"/>
      <c r="N102"/>
      <c r="O102"/>
      <c r="P102"/>
      <c r="Q102"/>
      <c r="R102"/>
      <c r="S102"/>
      <c r="T102"/>
      <c r="U102"/>
      <c r="V102"/>
      <c r="W102"/>
      <c r="X102"/>
      <c r="Y102"/>
      <c r="Z102"/>
      <c r="AA102"/>
      <c r="AB102"/>
      <c r="AC102"/>
      <c r="AD102"/>
      <c r="AE102"/>
      <c r="AF102"/>
      <c r="AG102"/>
      <c r="AH102"/>
      <c r="AI102"/>
      <c r="AJ102"/>
    </row>
    <row r="103" spans="1:36" x14ac:dyDescent="0.35">
      <c r="A103" s="74" t="s">
        <v>903</v>
      </c>
      <c r="B103" s="75">
        <f>1-B101-B102</f>
        <v>0.42014693033333328</v>
      </c>
      <c r="C103" s="4">
        <f>Crossover!B2</f>
        <v>59</v>
      </c>
      <c r="D103" s="4">
        <f>Crossover!B3</f>
        <v>88.5</v>
      </c>
      <c r="G103"/>
      <c r="H103"/>
      <c r="I103"/>
      <c r="J103"/>
      <c r="K103"/>
      <c r="L103"/>
      <c r="M103"/>
      <c r="N103"/>
      <c r="O103"/>
      <c r="P103"/>
      <c r="Q103"/>
      <c r="R103"/>
      <c r="S103"/>
      <c r="T103"/>
      <c r="U103"/>
      <c r="V103"/>
      <c r="W103"/>
      <c r="X103"/>
      <c r="Y103"/>
      <c r="Z103"/>
      <c r="AA103"/>
      <c r="AB103"/>
      <c r="AC103"/>
      <c r="AD103"/>
      <c r="AE103"/>
      <c r="AF103"/>
      <c r="AG103"/>
      <c r="AH103"/>
      <c r="AI103"/>
      <c r="AJ103"/>
    </row>
    <row r="104" spans="1:36" x14ac:dyDescent="0.35">
      <c r="G104"/>
      <c r="H104"/>
      <c r="I104"/>
      <c r="J104"/>
      <c r="K104"/>
      <c r="L104"/>
      <c r="M104"/>
      <c r="N104"/>
      <c r="O104"/>
      <c r="P104"/>
      <c r="Q104"/>
      <c r="R104"/>
      <c r="S104"/>
      <c r="T104"/>
      <c r="U104"/>
      <c r="V104"/>
      <c r="W104"/>
      <c r="X104"/>
      <c r="Y104"/>
      <c r="Z104"/>
      <c r="AA104"/>
      <c r="AB104"/>
      <c r="AC104"/>
      <c r="AD104"/>
      <c r="AE104"/>
      <c r="AF104"/>
      <c r="AG104"/>
      <c r="AH104"/>
      <c r="AI104"/>
      <c r="AJ104"/>
    </row>
    <row r="105" spans="1:36" x14ac:dyDescent="0.35">
      <c r="A105" s="74" t="s">
        <v>876</v>
      </c>
      <c r="B105" s="74" t="s">
        <v>1037</v>
      </c>
      <c r="G105"/>
      <c r="H105"/>
      <c r="I105"/>
      <c r="J105"/>
      <c r="K105"/>
      <c r="L105"/>
      <c r="M105"/>
      <c r="N105"/>
      <c r="O105"/>
      <c r="P105"/>
      <c r="Q105"/>
      <c r="R105"/>
      <c r="S105"/>
      <c r="T105"/>
      <c r="U105"/>
      <c r="V105"/>
      <c r="W105"/>
      <c r="X105"/>
      <c r="Y105"/>
      <c r="Z105"/>
      <c r="AA105"/>
      <c r="AB105"/>
      <c r="AC105"/>
      <c r="AD105"/>
      <c r="AE105"/>
      <c r="AF105"/>
      <c r="AG105"/>
      <c r="AH105"/>
      <c r="AI105"/>
      <c r="AJ105"/>
    </row>
    <row r="106" spans="1:36" x14ac:dyDescent="0.35">
      <c r="A106" s="74" t="s">
        <v>903</v>
      </c>
      <c r="B106" s="75">
        <f>('LDV sales'!E76+'LDV sales'!E77)/100</f>
        <v>0.56562451899999988</v>
      </c>
      <c r="C106" s="4">
        <f>C103</f>
        <v>59</v>
      </c>
      <c r="D106" s="4">
        <f>D103</f>
        <v>88.5</v>
      </c>
      <c r="G106"/>
      <c r="H106"/>
      <c r="I106"/>
      <c r="J106"/>
      <c r="K106"/>
      <c r="L106"/>
      <c r="M106"/>
      <c r="N106"/>
      <c r="O106"/>
      <c r="P106"/>
      <c r="Q106"/>
      <c r="R106"/>
      <c r="S106"/>
      <c r="T106"/>
      <c r="U106"/>
      <c r="V106"/>
      <c r="W106"/>
      <c r="X106"/>
      <c r="Y106"/>
      <c r="Z106"/>
      <c r="AA106"/>
      <c r="AB106"/>
      <c r="AC106"/>
      <c r="AD106"/>
      <c r="AE106"/>
      <c r="AF106"/>
      <c r="AG106"/>
      <c r="AH106"/>
      <c r="AI106"/>
      <c r="AJ106"/>
    </row>
    <row r="107" spans="1:36" x14ac:dyDescent="0.35">
      <c r="A107" s="74" t="s">
        <v>797</v>
      </c>
      <c r="B107" s="75">
        <f>1-(B106+B108)</f>
        <v>7.1632048000000115E-2</v>
      </c>
      <c r="C107" s="4">
        <f>SUV!B2</f>
        <v>69.54651162790698</v>
      </c>
      <c r="D107" s="4">
        <f>SUV!B3</f>
        <v>104.31976744186046</v>
      </c>
      <c r="G107"/>
      <c r="H107"/>
      <c r="I107"/>
      <c r="J107"/>
      <c r="K107"/>
      <c r="L107"/>
      <c r="M107"/>
      <c r="N107"/>
      <c r="O107"/>
      <c r="P107"/>
      <c r="Q107"/>
      <c r="R107"/>
      <c r="S107"/>
      <c r="T107"/>
      <c r="U107"/>
      <c r="V107"/>
      <c r="W107"/>
      <c r="X107"/>
      <c r="Y107"/>
      <c r="Z107"/>
      <c r="AA107"/>
      <c r="AB107"/>
      <c r="AC107"/>
      <c r="AD107"/>
      <c r="AE107"/>
      <c r="AF107"/>
      <c r="AG107"/>
      <c r="AH107"/>
      <c r="AI107"/>
      <c r="AJ107"/>
    </row>
    <row r="108" spans="1:36" x14ac:dyDescent="0.35">
      <c r="A108" s="74" t="s">
        <v>788</v>
      </c>
      <c r="B108" s="75">
        <f>('LDV sales'!E70+'LDV sales'!E71+'LDV sales'!E72+'LDV sales'!E73)/100</f>
        <v>0.362743433</v>
      </c>
      <c r="C108" s="4">
        <f>Pickup!B2</f>
        <v>88.9375</v>
      </c>
      <c r="D108" s="4">
        <f>Pickup!B3</f>
        <v>133.40625</v>
      </c>
      <c r="G108"/>
      <c r="H108"/>
      <c r="I108"/>
      <c r="J108"/>
      <c r="K108"/>
      <c r="L108"/>
      <c r="M108"/>
      <c r="N108"/>
      <c r="O108"/>
      <c r="P108"/>
      <c r="Q108"/>
      <c r="R108"/>
      <c r="S108"/>
      <c r="T108"/>
      <c r="U108"/>
      <c r="V108"/>
      <c r="W108"/>
      <c r="X108"/>
      <c r="Y108"/>
      <c r="Z108"/>
      <c r="AA108"/>
      <c r="AB108"/>
      <c r="AC108"/>
      <c r="AD108"/>
      <c r="AE108"/>
      <c r="AF108"/>
      <c r="AG108"/>
      <c r="AH108"/>
      <c r="AI108"/>
      <c r="AJ108"/>
    </row>
    <row r="109" spans="1:36" x14ac:dyDescent="0.35">
      <c r="AJ109"/>
    </row>
    <row r="110" spans="1:36" x14ac:dyDescent="0.35">
      <c r="A110" s="74" t="s">
        <v>1216</v>
      </c>
      <c r="C110" s="74">
        <f>D108/D107</f>
        <v>1.2788204313659923</v>
      </c>
      <c r="AJ110"/>
    </row>
    <row r="111" spans="1:36" x14ac:dyDescent="0.35">
      <c r="AJ111"/>
    </row>
    <row r="112" spans="1:36" x14ac:dyDescent="0.35">
      <c r="AJ112"/>
    </row>
    <row r="113" spans="36:36" x14ac:dyDescent="0.35">
      <c r="AJ113"/>
    </row>
    <row r="114" spans="36:36" x14ac:dyDescent="0.35">
      <c r="AJ114"/>
    </row>
    <row r="115" spans="36:36" x14ac:dyDescent="0.35">
      <c r="AJ115"/>
    </row>
    <row r="116" spans="36:36" x14ac:dyDescent="0.35">
      <c r="AJ116"/>
    </row>
    <row r="117" spans="36:36" x14ac:dyDescent="0.35">
      <c r="AJ117"/>
    </row>
    <row r="118" spans="36:36" x14ac:dyDescent="0.35">
      <c r="AJ118"/>
    </row>
    <row r="119" spans="36:36" x14ac:dyDescent="0.35">
      <c r="AJ119"/>
    </row>
    <row r="120" spans="36:36" x14ac:dyDescent="0.35">
      <c r="AJ120"/>
    </row>
    <row r="121" spans="36:36" x14ac:dyDescent="0.35">
      <c r="AJ121"/>
    </row>
    <row r="122" spans="36:36" x14ac:dyDescent="0.35">
      <c r="AJ122"/>
    </row>
    <row r="123" spans="36:36" x14ac:dyDescent="0.35">
      <c r="AJ123"/>
    </row>
    <row r="124" spans="36:36" x14ac:dyDescent="0.35">
      <c r="AJ124"/>
    </row>
    <row r="125" spans="36:36" x14ac:dyDescent="0.35">
      <c r="AJ125"/>
    </row>
    <row r="126" spans="36:36" x14ac:dyDescent="0.35">
      <c r="AJ126"/>
    </row>
    <row r="127" spans="36:36" x14ac:dyDescent="0.35">
      <c r="AJ127"/>
    </row>
    <row r="128" spans="36:36" x14ac:dyDescent="0.35">
      <c r="AJ128"/>
    </row>
    <row r="129" spans="36:36" x14ac:dyDescent="0.35">
      <c r="AJ129"/>
    </row>
    <row r="130" spans="36:36" x14ac:dyDescent="0.35">
      <c r="AJ130"/>
    </row>
    <row r="131" spans="36:36" x14ac:dyDescent="0.35">
      <c r="AJ131"/>
    </row>
    <row r="132" spans="36:36" x14ac:dyDescent="0.35">
      <c r="AJ132"/>
    </row>
    <row r="133" spans="36:36" x14ac:dyDescent="0.35">
      <c r="AJ133"/>
    </row>
    <row r="134" spans="36:36" x14ac:dyDescent="0.35">
      <c r="AJ134"/>
    </row>
    <row r="135" spans="36:36" x14ac:dyDescent="0.35">
      <c r="AJ135"/>
    </row>
    <row r="136" spans="36:36" x14ac:dyDescent="0.35">
      <c r="AJ136"/>
    </row>
    <row r="137" spans="36:36" x14ac:dyDescent="0.35">
      <c r="AJ137"/>
    </row>
    <row r="138" spans="36:36" x14ac:dyDescent="0.35">
      <c r="AJ138"/>
    </row>
    <row r="139" spans="36:36" x14ac:dyDescent="0.35">
      <c r="AJ139"/>
    </row>
    <row r="140" spans="36:36" x14ac:dyDescent="0.35">
      <c r="AJ140"/>
    </row>
    <row r="141" spans="36:36" x14ac:dyDescent="0.35">
      <c r="AJ141"/>
    </row>
    <row r="142" spans="36:36" x14ac:dyDescent="0.35">
      <c r="AJ142"/>
    </row>
    <row r="143" spans="36:36" x14ac:dyDescent="0.35">
      <c r="AJ143"/>
    </row>
    <row r="144" spans="36:36" x14ac:dyDescent="0.35">
      <c r="AJ144"/>
    </row>
    <row r="145" spans="1:36" x14ac:dyDescent="0.35">
      <c r="A145"/>
      <c r="B145"/>
      <c r="C145"/>
      <c r="D145"/>
      <c r="E145"/>
      <c r="F145"/>
      <c r="G145"/>
      <c r="H145"/>
      <c r="I145"/>
      <c r="J145"/>
      <c r="K145"/>
      <c r="L145"/>
      <c r="M145"/>
      <c r="N145"/>
      <c r="O145"/>
      <c r="P145"/>
      <c r="Q145"/>
      <c r="R145"/>
      <c r="S145"/>
      <c r="T145"/>
      <c r="U145"/>
      <c r="V145"/>
      <c r="W145"/>
      <c r="X145"/>
      <c r="Y145"/>
      <c r="Z145"/>
      <c r="AA145"/>
      <c r="AB145"/>
      <c r="AC145"/>
      <c r="AD145"/>
      <c r="AE145"/>
      <c r="AF145"/>
      <c r="AG145"/>
      <c r="AH145"/>
      <c r="AI145"/>
      <c r="AJ145"/>
    </row>
    <row r="146" spans="1:36" x14ac:dyDescent="0.35">
      <c r="A146" t="s">
        <v>1204</v>
      </c>
      <c r="B146"/>
      <c r="C146"/>
      <c r="D146"/>
      <c r="E146"/>
      <c r="F146">
        <f>G146</f>
        <v>32.98498612368715</v>
      </c>
      <c r="G146" s="74">
        <f>'LDV sales'!G89*'LDV sales'!G96+'LDV sales'!G90*'LDV sales'!G101</f>
        <v>32.98498612368715</v>
      </c>
      <c r="H146" s="74">
        <f>'LDV sales'!H89*'LDV sales'!H96+'LDV sales'!H90*'LDV sales'!H101</f>
        <v>34.379401059394453</v>
      </c>
      <c r="I146" s="74">
        <f>'LDV sales'!I89*'LDV sales'!I96+'LDV sales'!I90*'LDV sales'!I101</f>
        <v>34.846109396970888</v>
      </c>
      <c r="J146" s="74">
        <f>'LDV sales'!J89*'LDV sales'!J96+'LDV sales'!J90*'LDV sales'!J101</f>
        <v>35.184573797067785</v>
      </c>
      <c r="K146" s="74">
        <f>'LDV sales'!K89*'LDV sales'!K96+'LDV sales'!K90*'LDV sales'!K101</f>
        <v>35.365571324717877</v>
      </c>
      <c r="L146" s="74">
        <f>'LDV sales'!L89*'LDV sales'!L96+'LDV sales'!L90*'LDV sales'!L101</f>
        <v>35.46941519442224</v>
      </c>
      <c r="M146" s="74">
        <f>'LDV sales'!M89*'LDV sales'!M96+'LDV sales'!M90*'LDV sales'!M101</f>
        <v>35.527600232379847</v>
      </c>
      <c r="N146" s="74">
        <f>'LDV sales'!N89*'LDV sales'!N96+'LDV sales'!N90*'LDV sales'!N101</f>
        <v>35.577080465781634</v>
      </c>
      <c r="O146" s="74">
        <f>'LDV sales'!O89*'LDV sales'!O96+'LDV sales'!O90*'LDV sales'!O101</f>
        <v>35.579179673576625</v>
      </c>
      <c r="P146" s="74">
        <f>'LDV sales'!P89*'LDV sales'!P96+'LDV sales'!P90*'LDV sales'!P101</f>
        <v>35.21932287996394</v>
      </c>
      <c r="Q146" s="74">
        <f>'LDV sales'!Q89*'LDV sales'!Q96+'LDV sales'!Q90*'LDV sales'!Q101</f>
        <v>35.262010147352733</v>
      </c>
      <c r="R146" s="74">
        <f>'LDV sales'!R89*'LDV sales'!R96+'LDV sales'!R90*'LDV sales'!R101</f>
        <v>35.177274673731418</v>
      </c>
      <c r="S146" s="74">
        <f>'LDV sales'!S89*'LDV sales'!S96+'LDV sales'!S90*'LDV sales'!S101</f>
        <v>35.164331764880238</v>
      </c>
      <c r="T146" s="74">
        <f>'LDV sales'!T89*'LDV sales'!T96+'LDV sales'!T90*'LDV sales'!T101</f>
        <v>35.167037917180714</v>
      </c>
      <c r="U146" s="74">
        <f>'LDV sales'!U89*'LDV sales'!U96+'LDV sales'!U90*'LDV sales'!U101</f>
        <v>35.18089847042193</v>
      </c>
      <c r="V146" s="74">
        <f>'LDV sales'!V89*'LDV sales'!V96+'LDV sales'!V90*'LDV sales'!V101</f>
        <v>35.207640314029646</v>
      </c>
      <c r="W146" s="74">
        <f>'LDV sales'!W89*'LDV sales'!W96+'LDV sales'!W90*'LDV sales'!W101</f>
        <v>35.217748357725725</v>
      </c>
      <c r="X146" s="74">
        <f>'LDV sales'!X89*'LDV sales'!X96+'LDV sales'!X90*'LDV sales'!X101</f>
        <v>35.268378783298765</v>
      </c>
      <c r="Y146" s="74">
        <f>'LDV sales'!Y89*'LDV sales'!Y96+'LDV sales'!Y90*'LDV sales'!Y101</f>
        <v>35.288816366334324</v>
      </c>
      <c r="Z146" s="74">
        <f>'LDV sales'!Z89*'LDV sales'!Z96+'LDV sales'!Z90*'LDV sales'!Z101</f>
        <v>35.334590061434753</v>
      </c>
      <c r="AA146" s="74">
        <f>'LDV sales'!AA89*'LDV sales'!AA96+'LDV sales'!AA90*'LDV sales'!AA101</f>
        <v>35.389704181542427</v>
      </c>
      <c r="AB146" s="74">
        <f>'LDV sales'!AB89*'LDV sales'!AB96+'LDV sales'!AB90*'LDV sales'!AB101</f>
        <v>35.423479040900858</v>
      </c>
      <c r="AC146" s="74">
        <f>'LDV sales'!AC89*'LDV sales'!AC96+'LDV sales'!AC90*'LDV sales'!AC101</f>
        <v>35.462219319008184</v>
      </c>
      <c r="AD146" s="74">
        <f>'LDV sales'!AD89*'LDV sales'!AD96+'LDV sales'!AD90*'LDV sales'!AD101</f>
        <v>35.509306934503286</v>
      </c>
      <c r="AE146" s="74">
        <f>'LDV sales'!AE89*'LDV sales'!AE96+'LDV sales'!AE90*'LDV sales'!AE101</f>
        <v>35.546760255525776</v>
      </c>
      <c r="AF146" s="74">
        <f>'LDV sales'!AF89*'LDV sales'!AF96+'LDV sales'!AF90*'LDV sales'!AF101</f>
        <v>35.600950271509888</v>
      </c>
      <c r="AG146" s="74">
        <f>'LDV sales'!AG89*'LDV sales'!AG96+'LDV sales'!AG90*'LDV sales'!AG101</f>
        <v>35.665974239502034</v>
      </c>
      <c r="AH146" s="74">
        <f>'LDV sales'!AH89*'LDV sales'!AH96+'LDV sales'!AH90*'LDV sales'!AH101</f>
        <v>35.726288778454688</v>
      </c>
      <c r="AI146" s="74">
        <f>'LDV sales'!AI89*'LDV sales'!AI96+'LDV sales'!AI90*'LDV sales'!AI101</f>
        <v>35.782572341882229</v>
      </c>
      <c r="AJ146"/>
    </row>
    <row r="147" spans="1:36" x14ac:dyDescent="0.35">
      <c r="A147"/>
      <c r="B147"/>
      <c r="C147"/>
      <c r="D147"/>
      <c r="E147"/>
      <c r="F147"/>
      <c r="G147"/>
      <c r="H147"/>
      <c r="I147"/>
      <c r="J147"/>
      <c r="K147"/>
      <c r="L147"/>
      <c r="M147"/>
      <c r="N147"/>
      <c r="O147"/>
      <c r="P147"/>
      <c r="Q147"/>
      <c r="R147"/>
      <c r="S147"/>
      <c r="T147"/>
      <c r="U147"/>
      <c r="V147"/>
      <c r="W147"/>
      <c r="X147"/>
      <c r="Y147"/>
      <c r="Z147"/>
      <c r="AA147"/>
      <c r="AB147"/>
      <c r="AC147"/>
      <c r="AD147"/>
      <c r="AE147"/>
      <c r="AF147"/>
      <c r="AG147"/>
      <c r="AH147"/>
      <c r="AI147"/>
      <c r="AJ147"/>
    </row>
  </sheetData>
  <hyperlinks>
    <hyperlink ref="A2" r:id="rId1" xr:uid="{4D555DFA-E81F-443C-A92F-96EF2C1C4905}"/>
    <hyperlink ref="A3" r:id="rId2" display="https://about.bnef.com/blog/battery-pack-prices-fall-as-market-ramps-up-with-market-average-at-156-kwh-in-2019/" xr:uid="{34083ED4-AAB1-4772-B079-57B00883B9F8}"/>
  </hyperlinks>
  <pageMargins left="0.7" right="0.7" top="0.75" bottom="0.75" header="0.3" footer="0.3"/>
  <pageSetup orientation="portrait" horizontalDpi="200"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25099-2B9F-4F7C-8E15-DF62316374A4}">
  <sheetPr codeName="Sheet7">
    <tabColor theme="7" tint="0.39997558519241921"/>
  </sheetPr>
  <dimension ref="A1:S103"/>
  <sheetViews>
    <sheetView zoomScale="85" zoomScaleNormal="85" workbookViewId="0">
      <selection activeCell="H11" sqref="H11"/>
    </sheetView>
  </sheetViews>
  <sheetFormatPr defaultColWidth="8.7265625" defaultRowHeight="14.5" x14ac:dyDescent="0.35"/>
  <cols>
    <col min="1" max="1" width="24.7265625" style="74" customWidth="1"/>
    <col min="2" max="4" width="12.81640625" style="74" customWidth="1"/>
    <col min="5" max="5" width="12.7265625" style="74" customWidth="1"/>
    <col min="6" max="6" width="12.90625" style="74" customWidth="1"/>
    <col min="7" max="7" width="15.26953125" style="74" customWidth="1"/>
    <col min="8" max="8" width="12.1796875" style="74" bestFit="1" customWidth="1"/>
    <col min="9" max="9" width="20.36328125" style="74" customWidth="1"/>
    <col min="10" max="10" width="10.08984375" style="74" bestFit="1" customWidth="1"/>
    <col min="11" max="11" width="10.6328125" style="74" customWidth="1"/>
    <col min="12" max="15" width="10.08984375" style="74" bestFit="1" customWidth="1"/>
    <col min="16" max="16384" width="8.7265625" style="74"/>
  </cols>
  <sheetData>
    <row r="1" spans="1:19" x14ac:dyDescent="0.35">
      <c r="A1" s="105" t="s">
        <v>911</v>
      </c>
      <c r="B1" s="106"/>
      <c r="C1" s="106"/>
      <c r="D1" s="106"/>
      <c r="E1" s="106"/>
      <c r="F1" s="106"/>
      <c r="G1" s="106"/>
      <c r="H1" s="106"/>
      <c r="I1" s="106"/>
      <c r="J1" s="106"/>
      <c r="K1" s="106"/>
      <c r="L1" s="106"/>
      <c r="M1" s="106"/>
      <c r="N1" s="106"/>
      <c r="O1" s="106"/>
      <c r="P1" s="106"/>
      <c r="Q1" s="106"/>
      <c r="R1" s="106"/>
      <c r="S1" s="106"/>
    </row>
    <row r="4" spans="1:19" ht="15" thickBot="1" x14ac:dyDescent="0.4"/>
    <row r="5" spans="1:19" x14ac:dyDescent="0.35">
      <c r="I5" s="134" t="s">
        <v>915</v>
      </c>
      <c r="J5" s="124"/>
      <c r="K5" s="116"/>
    </row>
    <row r="6" spans="1:19" x14ac:dyDescent="0.35">
      <c r="I6" s="117" t="s">
        <v>916</v>
      </c>
      <c r="J6" s="148">
        <v>250</v>
      </c>
      <c r="K6" s="118"/>
    </row>
    <row r="7" spans="1:19" x14ac:dyDescent="0.35">
      <c r="I7" s="117" t="s">
        <v>917</v>
      </c>
      <c r="J7" s="148">
        <v>250</v>
      </c>
      <c r="K7" s="118"/>
    </row>
    <row r="8" spans="1:19" x14ac:dyDescent="0.35">
      <c r="I8" s="117" t="s">
        <v>918</v>
      </c>
      <c r="J8" s="148">
        <v>697</v>
      </c>
      <c r="K8" s="118"/>
    </row>
    <row r="9" spans="1:19" x14ac:dyDescent="0.35">
      <c r="I9" s="117" t="s">
        <v>919</v>
      </c>
      <c r="J9" s="148">
        <v>1200</v>
      </c>
      <c r="K9" s="118"/>
    </row>
    <row r="10" spans="1:19" x14ac:dyDescent="0.35">
      <c r="I10" s="117" t="s">
        <v>920</v>
      </c>
      <c r="J10" s="148">
        <v>150</v>
      </c>
      <c r="K10" s="118"/>
    </row>
    <row r="11" spans="1:19" x14ac:dyDescent="0.35">
      <c r="I11" s="117" t="s">
        <v>921</v>
      </c>
      <c r="J11" s="148">
        <v>51</v>
      </c>
      <c r="K11" s="118"/>
    </row>
    <row r="12" spans="1:19" x14ac:dyDescent="0.35">
      <c r="I12" s="117" t="s">
        <v>922</v>
      </c>
      <c r="J12" s="148">
        <v>93</v>
      </c>
      <c r="K12" s="118"/>
    </row>
    <row r="13" spans="1:19" x14ac:dyDescent="0.35">
      <c r="I13" s="117" t="s">
        <v>923</v>
      </c>
      <c r="J13" s="148">
        <v>335</v>
      </c>
      <c r="K13" s="118"/>
    </row>
    <row r="14" spans="1:19" x14ac:dyDescent="0.35">
      <c r="I14" s="117" t="s">
        <v>924</v>
      </c>
      <c r="J14" s="148">
        <v>273</v>
      </c>
      <c r="K14" s="118"/>
    </row>
    <row r="15" spans="1:19" x14ac:dyDescent="0.35">
      <c r="I15" s="117" t="s">
        <v>925</v>
      </c>
      <c r="J15" s="148">
        <v>150</v>
      </c>
      <c r="K15" s="118"/>
    </row>
    <row r="16" spans="1:19" x14ac:dyDescent="0.35">
      <c r="I16" s="117"/>
      <c r="J16" s="148"/>
      <c r="K16" s="118"/>
    </row>
    <row r="17" spans="9:11" x14ac:dyDescent="0.35">
      <c r="I17" s="135" t="s">
        <v>929</v>
      </c>
      <c r="J17" s="119"/>
      <c r="K17" s="118"/>
    </row>
    <row r="18" spans="9:11" x14ac:dyDescent="0.35">
      <c r="I18" s="117" t="s">
        <v>930</v>
      </c>
      <c r="J18" s="148">
        <v>12600</v>
      </c>
      <c r="K18" s="118"/>
    </row>
    <row r="19" spans="9:11" x14ac:dyDescent="0.35">
      <c r="I19" s="117"/>
      <c r="J19" s="119"/>
      <c r="K19" s="118"/>
    </row>
    <row r="20" spans="9:11" x14ac:dyDescent="0.35">
      <c r="I20" s="135" t="s">
        <v>933</v>
      </c>
      <c r="J20" s="132"/>
      <c r="K20" s="118"/>
    </row>
    <row r="21" spans="9:11" x14ac:dyDescent="0.35">
      <c r="I21" s="149" t="s">
        <v>251</v>
      </c>
      <c r="J21" s="148">
        <v>4000</v>
      </c>
      <c r="K21" s="118"/>
    </row>
    <row r="22" spans="9:11" x14ac:dyDescent="0.35">
      <c r="I22" s="149" t="s">
        <v>934</v>
      </c>
      <c r="J22" s="148">
        <v>10584</v>
      </c>
      <c r="K22" s="118"/>
    </row>
    <row r="23" spans="9:11" ht="15" thickBot="1" x14ac:dyDescent="0.4">
      <c r="I23" s="150" t="s">
        <v>935</v>
      </c>
      <c r="J23" s="151">
        <v>3200</v>
      </c>
      <c r="K23" s="125"/>
    </row>
    <row r="33" spans="1:19" x14ac:dyDescent="0.35">
      <c r="A33" s="105" t="s">
        <v>878</v>
      </c>
      <c r="B33" s="106"/>
      <c r="C33" s="106"/>
      <c r="D33" s="106"/>
      <c r="E33" s="106"/>
      <c r="F33" s="106"/>
      <c r="G33" s="106"/>
      <c r="H33" s="106"/>
      <c r="I33" s="106"/>
      <c r="J33" s="106"/>
      <c r="K33" s="136"/>
      <c r="L33" s="106"/>
      <c r="M33" s="136"/>
      <c r="N33" s="106"/>
      <c r="O33" s="106"/>
      <c r="P33" s="106"/>
      <c r="Q33" s="106"/>
      <c r="R33" s="106"/>
      <c r="S33" s="106"/>
    </row>
    <row r="34" spans="1:19" x14ac:dyDescent="0.35">
      <c r="K34" s="79"/>
      <c r="M34" s="79"/>
    </row>
    <row r="35" spans="1:19" x14ac:dyDescent="0.35">
      <c r="A35" s="144" t="s">
        <v>913</v>
      </c>
      <c r="B35" s="144"/>
      <c r="C35" s="144"/>
      <c r="D35" s="145"/>
      <c r="E35" s="145"/>
      <c r="F35" s="145"/>
      <c r="G35" s="145"/>
      <c r="H35" s="145"/>
      <c r="I35" s="145"/>
      <c r="J35" s="145"/>
      <c r="K35" s="146"/>
      <c r="L35" s="145"/>
      <c r="M35" s="146"/>
      <c r="N35" s="145"/>
      <c r="O35" s="145"/>
      <c r="P35" s="145"/>
      <c r="Q35" s="145"/>
      <c r="R35" s="145"/>
      <c r="S35" s="145"/>
    </row>
    <row r="36" spans="1:19" x14ac:dyDescent="0.35">
      <c r="A36" s="74" t="s">
        <v>914</v>
      </c>
      <c r="B36" s="74">
        <v>1.47</v>
      </c>
      <c r="C36" s="137" t="s">
        <v>926</v>
      </c>
      <c r="K36" s="79"/>
      <c r="M36" s="79"/>
    </row>
    <row r="37" spans="1:19" x14ac:dyDescent="0.35">
      <c r="A37" s="74" t="s">
        <v>1215</v>
      </c>
      <c r="B37" s="79">
        <f>E56</f>
        <v>1.1680937359170798</v>
      </c>
      <c r="C37" s="137" t="s">
        <v>1218</v>
      </c>
      <c r="K37" s="79"/>
      <c r="M37" s="79"/>
    </row>
    <row r="38" spans="1:19" x14ac:dyDescent="0.35">
      <c r="K38" s="79"/>
      <c r="M38" s="79"/>
    </row>
    <row r="39" spans="1:19" x14ac:dyDescent="0.35">
      <c r="A39" s="144" t="s">
        <v>927</v>
      </c>
      <c r="B39" s="145"/>
      <c r="C39" s="145"/>
      <c r="D39" s="145"/>
      <c r="E39" s="145"/>
      <c r="F39" s="145"/>
      <c r="G39" s="145"/>
      <c r="H39" s="145"/>
      <c r="I39" s="145"/>
      <c r="J39" s="145"/>
      <c r="K39" s="145"/>
      <c r="L39" s="145"/>
      <c r="M39" s="145"/>
      <c r="N39" s="145"/>
      <c r="O39" s="145"/>
      <c r="P39" s="145"/>
      <c r="Q39" s="145"/>
      <c r="R39" s="145"/>
      <c r="S39" s="145"/>
    </row>
    <row r="40" spans="1:19" ht="29" x14ac:dyDescent="0.35">
      <c r="A40" s="121"/>
      <c r="B40" s="141" t="s">
        <v>786</v>
      </c>
      <c r="C40" s="141" t="s">
        <v>779</v>
      </c>
      <c r="D40" s="141" t="s">
        <v>780</v>
      </c>
      <c r="E40" s="100"/>
      <c r="G40" s="100"/>
      <c r="H40" s="100"/>
      <c r="I40" s="100"/>
      <c r="J40" s="100"/>
      <c r="K40" s="99"/>
      <c r="L40" s="5"/>
    </row>
    <row r="41" spans="1:19" x14ac:dyDescent="0.35">
      <c r="A41" s="121" t="str">
        <f>I6</f>
        <v>Thermal management</v>
      </c>
      <c r="B41" s="138">
        <f>J6</f>
        <v>250</v>
      </c>
      <c r="C41" s="138">
        <f t="shared" ref="C41:C50" si="0">B41*$B$36</f>
        <v>367.5</v>
      </c>
      <c r="D41" s="138">
        <f>C41*$B$37</f>
        <v>429.2744479495268</v>
      </c>
      <c r="E41" s="4"/>
      <c r="G41" s="4"/>
      <c r="I41" s="4"/>
      <c r="J41" s="4"/>
    </row>
    <row r="42" spans="1:19" x14ac:dyDescent="0.35">
      <c r="A42" s="121" t="str">
        <f t="shared" ref="A42:A50" si="1">I7</f>
        <v>Power distribution module</v>
      </c>
      <c r="B42" s="138">
        <f t="shared" ref="B42:B50" si="2">J7</f>
        <v>250</v>
      </c>
      <c r="C42" s="138">
        <f t="shared" si="0"/>
        <v>367.5</v>
      </c>
      <c r="D42" s="138">
        <f t="shared" ref="D42:D50" si="3">C42*$B$37</f>
        <v>429.2744479495268</v>
      </c>
      <c r="E42" s="4"/>
      <c r="G42" s="4"/>
      <c r="I42" s="4"/>
      <c r="J42" s="4"/>
    </row>
    <row r="43" spans="1:19" x14ac:dyDescent="0.35">
      <c r="A43" s="121" t="str">
        <f t="shared" si="1"/>
        <v>Inverter/converter</v>
      </c>
      <c r="B43" s="138">
        <f t="shared" si="2"/>
        <v>697</v>
      </c>
      <c r="C43" s="138">
        <f t="shared" si="0"/>
        <v>1024.5899999999999</v>
      </c>
      <c r="D43" s="138">
        <f t="shared" si="3"/>
        <v>1196.8171608832806</v>
      </c>
      <c r="E43" s="4"/>
      <c r="G43" s="4"/>
      <c r="I43" s="4"/>
      <c r="J43" s="4"/>
    </row>
    <row r="44" spans="1:19" x14ac:dyDescent="0.35">
      <c r="A44" s="121" t="str">
        <f t="shared" si="1"/>
        <v>Electric drive module</v>
      </c>
      <c r="B44" s="138">
        <f t="shared" si="2"/>
        <v>1200</v>
      </c>
      <c r="C44" s="138">
        <f t="shared" si="0"/>
        <v>1764</v>
      </c>
      <c r="D44" s="138">
        <f t="shared" si="3"/>
        <v>2060.5173501577287</v>
      </c>
      <c r="E44" s="4"/>
      <c r="G44" s="4"/>
      <c r="I44" s="4"/>
      <c r="J44" s="4"/>
    </row>
    <row r="45" spans="1:19" x14ac:dyDescent="0.35">
      <c r="A45" s="121" t="str">
        <f t="shared" si="1"/>
        <v>DC converter</v>
      </c>
      <c r="B45" s="138">
        <f t="shared" si="2"/>
        <v>150</v>
      </c>
      <c r="C45" s="138">
        <f t="shared" si="0"/>
        <v>220.5</v>
      </c>
      <c r="D45" s="138">
        <f t="shared" si="3"/>
        <v>257.56466876971609</v>
      </c>
      <c r="E45" s="4"/>
      <c r="G45" s="4"/>
      <c r="I45" s="4"/>
      <c r="J45" s="4"/>
    </row>
    <row r="46" spans="1:19" x14ac:dyDescent="0.35">
      <c r="A46" s="121" t="str">
        <f t="shared" si="1"/>
        <v>Controller</v>
      </c>
      <c r="B46" s="138">
        <f t="shared" si="2"/>
        <v>51</v>
      </c>
      <c r="C46" s="138">
        <f t="shared" si="0"/>
        <v>74.97</v>
      </c>
      <c r="D46" s="138">
        <f t="shared" si="3"/>
        <v>87.571987381703465</v>
      </c>
      <c r="E46" s="4"/>
      <c r="G46" s="4"/>
      <c r="I46" s="4"/>
      <c r="J46" s="4"/>
    </row>
    <row r="47" spans="1:19" x14ac:dyDescent="0.35">
      <c r="A47" s="121" t="str">
        <f t="shared" si="1"/>
        <v>Control module</v>
      </c>
      <c r="B47" s="138">
        <f t="shared" si="2"/>
        <v>93</v>
      </c>
      <c r="C47" s="138">
        <f t="shared" si="0"/>
        <v>136.71</v>
      </c>
      <c r="D47" s="138">
        <f t="shared" si="3"/>
        <v>159.69009463722398</v>
      </c>
      <c r="E47" s="4"/>
      <c r="G47" s="4"/>
      <c r="I47" s="4"/>
      <c r="J47" s="4"/>
    </row>
    <row r="48" spans="1:19" x14ac:dyDescent="0.35">
      <c r="A48" s="121" t="str">
        <f t="shared" si="1"/>
        <v>High voltage cables</v>
      </c>
      <c r="B48" s="138">
        <f t="shared" si="2"/>
        <v>335</v>
      </c>
      <c r="C48" s="138">
        <f t="shared" si="0"/>
        <v>492.45</v>
      </c>
      <c r="D48" s="138">
        <f t="shared" si="3"/>
        <v>575.2277602523659</v>
      </c>
      <c r="E48" s="4"/>
      <c r="G48" s="4"/>
      <c r="I48" s="4"/>
      <c r="J48" s="4"/>
    </row>
    <row r="49" spans="1:19" x14ac:dyDescent="0.35">
      <c r="A49" s="121" t="str">
        <f t="shared" si="1"/>
        <v>On-board charger</v>
      </c>
      <c r="B49" s="138">
        <f t="shared" si="2"/>
        <v>273</v>
      </c>
      <c r="C49" s="138">
        <f t="shared" si="0"/>
        <v>401.31</v>
      </c>
      <c r="D49" s="138">
        <f t="shared" si="3"/>
        <v>468.7676971608833</v>
      </c>
      <c r="E49" s="4"/>
      <c r="G49" s="4"/>
      <c r="I49" s="4"/>
      <c r="J49" s="4"/>
    </row>
    <row r="50" spans="1:19" x14ac:dyDescent="0.35">
      <c r="A50" s="121" t="str">
        <f t="shared" si="1"/>
        <v>Charging cord</v>
      </c>
      <c r="B50" s="138">
        <f t="shared" si="2"/>
        <v>150</v>
      </c>
      <c r="C50" s="138">
        <f t="shared" si="0"/>
        <v>220.5</v>
      </c>
      <c r="D50" s="138">
        <f t="shared" si="3"/>
        <v>257.56466876971609</v>
      </c>
      <c r="E50" s="4"/>
      <c r="G50" s="4"/>
      <c r="I50" s="4"/>
      <c r="J50" s="4"/>
    </row>
    <row r="51" spans="1:19" x14ac:dyDescent="0.35">
      <c r="A51" s="140" t="s">
        <v>877</v>
      </c>
      <c r="B51" s="142">
        <f>SUM(B41:B50)</f>
        <v>3449</v>
      </c>
      <c r="C51" s="142">
        <f>SUM(C41:C50)</f>
        <v>5070.0300000000007</v>
      </c>
      <c r="D51" s="142">
        <f>SUM(D41:D50)</f>
        <v>5922.2702839116728</v>
      </c>
      <c r="E51" s="4"/>
      <c r="G51" s="4"/>
      <c r="I51" s="4"/>
      <c r="J51" s="4"/>
    </row>
    <row r="53" spans="1:19" x14ac:dyDescent="0.35">
      <c r="B53" s="1"/>
      <c r="C53" s="1"/>
      <c r="I53" s="99"/>
      <c r="J53" s="99"/>
      <c r="K53" s="99"/>
      <c r="L53" s="99"/>
      <c r="M53" s="99"/>
    </row>
    <row r="54" spans="1:19" x14ac:dyDescent="0.35">
      <c r="A54" s="144" t="s">
        <v>928</v>
      </c>
      <c r="B54" s="144"/>
      <c r="C54" s="144"/>
      <c r="D54" s="144"/>
      <c r="E54" s="144"/>
      <c r="F54" s="144"/>
      <c r="G54" s="144"/>
      <c r="H54" s="144"/>
      <c r="I54" s="144"/>
      <c r="J54" s="144"/>
      <c r="K54" s="144"/>
      <c r="L54" s="145"/>
      <c r="M54" s="145"/>
      <c r="N54" s="145"/>
      <c r="O54" s="145"/>
      <c r="P54" s="145"/>
      <c r="Q54" s="145"/>
      <c r="R54" s="145"/>
      <c r="S54" s="145"/>
    </row>
    <row r="55" spans="1:19" ht="29" x14ac:dyDescent="0.35">
      <c r="B55" s="141" t="s">
        <v>784</v>
      </c>
      <c r="C55" s="141" t="s">
        <v>786</v>
      </c>
      <c r="D55" s="143" t="s">
        <v>782</v>
      </c>
      <c r="E55" s="143" t="s">
        <v>783</v>
      </c>
      <c r="F55" s="5"/>
      <c r="G55" s="99"/>
      <c r="H55" s="99"/>
      <c r="I55" s="99"/>
      <c r="J55" s="99"/>
      <c r="K55" s="5"/>
      <c r="L55" s="99"/>
    </row>
    <row r="56" spans="1:19" ht="43.5" x14ac:dyDescent="0.35">
      <c r="A56" s="133" t="s">
        <v>931</v>
      </c>
      <c r="B56" s="81">
        <v>1</v>
      </c>
      <c r="C56" s="81">
        <v>1.0549999999999999</v>
      </c>
      <c r="D56" s="81">
        <v>1.21</v>
      </c>
      <c r="E56" s="131">
        <f>'LDV psg gasoline'!B84</f>
        <v>1.1680937359170798</v>
      </c>
      <c r="F56" s="6" t="s">
        <v>785</v>
      </c>
      <c r="G56" s="82"/>
    </row>
    <row r="57" spans="1:19" x14ac:dyDescent="0.35">
      <c r="B57" s="81"/>
      <c r="C57" s="81"/>
      <c r="D57" s="81"/>
      <c r="E57" s="81"/>
    </row>
    <row r="58" spans="1:19" x14ac:dyDescent="0.35">
      <c r="A58" s="1" t="s">
        <v>929</v>
      </c>
      <c r="B58" s="138">
        <f>B56*J18</f>
        <v>12600</v>
      </c>
      <c r="C58" s="138">
        <f>C56*B58</f>
        <v>13293</v>
      </c>
      <c r="D58" s="138">
        <f>B58*D56</f>
        <v>15246</v>
      </c>
      <c r="E58" s="138">
        <f>E56*D58</f>
        <v>17808.757097791797</v>
      </c>
      <c r="G58" s="4"/>
      <c r="J58" s="4"/>
    </row>
    <row r="60" spans="1:19" x14ac:dyDescent="0.35">
      <c r="A60" s="144" t="s">
        <v>932</v>
      </c>
      <c r="B60" s="144"/>
      <c r="C60" s="144"/>
      <c r="D60" s="144"/>
      <c r="E60" s="144"/>
      <c r="F60" s="145"/>
      <c r="G60" s="145"/>
      <c r="H60" s="145"/>
      <c r="I60" s="145"/>
      <c r="J60" s="145"/>
      <c r="K60" s="145"/>
      <c r="L60" s="145"/>
      <c r="M60" s="145"/>
      <c r="N60" s="145"/>
      <c r="O60" s="145"/>
      <c r="P60" s="145"/>
      <c r="Q60" s="145"/>
      <c r="R60" s="145"/>
      <c r="S60" s="145"/>
    </row>
    <row r="61" spans="1:19" ht="29" x14ac:dyDescent="0.35">
      <c r="B61" s="153" t="s">
        <v>786</v>
      </c>
      <c r="C61" s="139" t="s">
        <v>787</v>
      </c>
      <c r="D61" s="139" t="s">
        <v>788</v>
      </c>
    </row>
    <row r="62" spans="1:19" x14ac:dyDescent="0.35">
      <c r="A62" s="74" t="s">
        <v>789</v>
      </c>
      <c r="B62" s="138">
        <f>$B$51</f>
        <v>3449</v>
      </c>
      <c r="C62" s="138">
        <f>$C$51</f>
        <v>5070.0300000000007</v>
      </c>
      <c r="D62" s="138">
        <f>$D$51</f>
        <v>5922.2702839116728</v>
      </c>
    </row>
    <row r="63" spans="1:19" x14ac:dyDescent="0.35">
      <c r="A63" s="74" t="s">
        <v>781</v>
      </c>
      <c r="B63" s="138">
        <f>C58</f>
        <v>13293</v>
      </c>
      <c r="C63" s="138">
        <f>$D$58</f>
        <v>15246</v>
      </c>
      <c r="D63" s="138">
        <f>$E$58</f>
        <v>17808.757097791797</v>
      </c>
    </row>
    <row r="64" spans="1:19" x14ac:dyDescent="0.35">
      <c r="A64" s="103" t="s">
        <v>790</v>
      </c>
      <c r="B64" s="155">
        <f>SUM(B62:B63)</f>
        <v>16742</v>
      </c>
      <c r="C64" s="155">
        <f>SUM(C62:C63)</f>
        <v>20316.03</v>
      </c>
      <c r="D64" s="155">
        <f>SUM(D62:D63)</f>
        <v>23731.027381703469</v>
      </c>
    </row>
    <row r="65" spans="1:19" x14ac:dyDescent="0.35">
      <c r="B65" s="138"/>
      <c r="C65" s="138"/>
      <c r="D65" s="138"/>
    </row>
    <row r="66" spans="1:19" x14ac:dyDescent="0.35">
      <c r="A66" s="1" t="s">
        <v>938</v>
      </c>
      <c r="B66" s="104">
        <f>'LDV psg EV specs'!B95</f>
        <v>0.1</v>
      </c>
      <c r="C66" s="104">
        <f>'LDV psg EV specs'!B96</f>
        <v>0.15</v>
      </c>
      <c r="D66" s="104">
        <f>'LDV psg EV specs'!B97</f>
        <v>0.25</v>
      </c>
    </row>
    <row r="67" spans="1:19" x14ac:dyDescent="0.35">
      <c r="B67" s="138"/>
      <c r="C67" s="138"/>
      <c r="D67" s="138"/>
    </row>
    <row r="68" spans="1:19" x14ac:dyDescent="0.35">
      <c r="A68" s="1" t="s">
        <v>806</v>
      </c>
      <c r="B68" s="154">
        <f>B64+B64*B66</f>
        <v>18416.2</v>
      </c>
      <c r="C68" s="154">
        <f>C64+C64*C66</f>
        <v>23363.434499999999</v>
      </c>
      <c r="D68" s="154">
        <f>D64+D64*D66</f>
        <v>29663.784227129334</v>
      </c>
    </row>
    <row r="69" spans="1:19" x14ac:dyDescent="0.35">
      <c r="B69" s="138"/>
      <c r="C69" s="138"/>
      <c r="D69" s="138"/>
    </row>
    <row r="70" spans="1:19" x14ac:dyDescent="0.35">
      <c r="A70" s="1" t="s">
        <v>792</v>
      </c>
      <c r="B70" s="104">
        <f>'LDV psg EV specs'!$B$93</f>
        <v>0.15</v>
      </c>
      <c r="C70" s="104">
        <f>'LDV psg EV specs'!$B$93</f>
        <v>0.15</v>
      </c>
      <c r="D70" s="104">
        <f>'LDV psg EV specs'!$B$93</f>
        <v>0.15</v>
      </c>
    </row>
    <row r="71" spans="1:19" x14ac:dyDescent="0.35">
      <c r="B71" s="138"/>
      <c r="C71" s="138"/>
      <c r="D71" s="138"/>
    </row>
    <row r="72" spans="1:19" x14ac:dyDescent="0.35">
      <c r="A72" s="1" t="s">
        <v>859</v>
      </c>
      <c r="B72" s="154">
        <f>B68+B68*B70</f>
        <v>21178.63</v>
      </c>
      <c r="C72" s="154">
        <f>C68+C68*C70</f>
        <v>26867.949675</v>
      </c>
      <c r="D72" s="154">
        <f>D68+D68*D70</f>
        <v>34113.351861198731</v>
      </c>
    </row>
    <row r="73" spans="1:19" x14ac:dyDescent="0.35">
      <c r="H73" s="8"/>
    </row>
    <row r="74" spans="1:19" x14ac:dyDescent="0.35">
      <c r="A74" s="144" t="s">
        <v>937</v>
      </c>
      <c r="B74" s="144"/>
      <c r="C74" s="144"/>
      <c r="D74" s="144"/>
      <c r="E74" s="145"/>
      <c r="F74" s="145"/>
      <c r="G74" s="145"/>
      <c r="H74" s="147"/>
      <c r="I74" s="145"/>
      <c r="J74" s="145"/>
      <c r="K74" s="145"/>
      <c r="L74" s="145"/>
      <c r="M74" s="145"/>
      <c r="N74" s="145"/>
      <c r="O74" s="145"/>
      <c r="P74" s="145"/>
      <c r="Q74" s="145"/>
      <c r="R74" s="145"/>
      <c r="S74" s="145"/>
    </row>
    <row r="76" spans="1:19" x14ac:dyDescent="0.35">
      <c r="A76" s="1" t="s">
        <v>786</v>
      </c>
      <c r="B76" s="152">
        <f>$B$72</f>
        <v>21178.63</v>
      </c>
    </row>
    <row r="77" spans="1:19" x14ac:dyDescent="0.35">
      <c r="A77" s="1" t="s">
        <v>910</v>
      </c>
      <c r="B77" s="152">
        <f>C72*'LDV psg gasoline'!B81+D72*'LDV psg gasoline'!B80</f>
        <v>28938.419274333217</v>
      </c>
      <c r="C77" s="152"/>
    </row>
    <row r="79" spans="1:19" x14ac:dyDescent="0.35">
      <c r="A79" s="144" t="s">
        <v>936</v>
      </c>
      <c r="B79" s="144"/>
      <c r="C79" s="144"/>
      <c r="D79" s="144"/>
      <c r="E79" s="144"/>
      <c r="F79" s="144"/>
      <c r="G79" s="145"/>
      <c r="H79" s="145"/>
      <c r="I79" s="145"/>
      <c r="J79" s="145"/>
      <c r="K79" s="145"/>
      <c r="L79" s="145"/>
      <c r="M79" s="145"/>
      <c r="N79" s="145"/>
      <c r="O79" s="145"/>
      <c r="P79" s="145"/>
      <c r="Q79" s="145"/>
      <c r="R79" s="145"/>
      <c r="S79" s="145"/>
    </row>
    <row r="81" spans="1:19" x14ac:dyDescent="0.35">
      <c r="A81" s="74" t="s">
        <v>1207</v>
      </c>
    </row>
    <row r="82" spans="1:19" x14ac:dyDescent="0.35">
      <c r="A82" s="130" t="s">
        <v>1208</v>
      </c>
      <c r="B82" s="101"/>
      <c r="C82" s="143"/>
      <c r="D82" s="5"/>
      <c r="E82" s="5"/>
    </row>
    <row r="84" spans="1:19" x14ac:dyDescent="0.35">
      <c r="A84" s="144" t="s">
        <v>912</v>
      </c>
      <c r="B84" s="145"/>
      <c r="C84" s="145"/>
      <c r="D84" s="145"/>
      <c r="E84" s="145"/>
      <c r="F84" s="145"/>
      <c r="G84" s="145"/>
      <c r="H84" s="145"/>
      <c r="I84" s="145"/>
      <c r="J84" s="145"/>
      <c r="K84" s="147"/>
      <c r="L84" s="147"/>
      <c r="M84" s="147"/>
      <c r="N84" s="147"/>
      <c r="O84" s="147"/>
      <c r="P84" s="145"/>
      <c r="Q84" s="145"/>
      <c r="R84" s="145"/>
      <c r="S84" s="145"/>
    </row>
    <row r="85" spans="1:19" x14ac:dyDescent="0.35">
      <c r="B85" s="1">
        <v>2018</v>
      </c>
      <c r="C85" s="1">
        <f>B85+1</f>
        <v>2019</v>
      </c>
      <c r="D85" s="1">
        <f t="shared" ref="D85:I85" si="4">C85+1</f>
        <v>2020</v>
      </c>
      <c r="E85" s="1">
        <f t="shared" si="4"/>
        <v>2021</v>
      </c>
      <c r="F85" s="1">
        <f t="shared" si="4"/>
        <v>2022</v>
      </c>
      <c r="G85" s="1">
        <f t="shared" si="4"/>
        <v>2023</v>
      </c>
      <c r="H85" s="1">
        <f t="shared" si="4"/>
        <v>2024</v>
      </c>
      <c r="I85" s="1">
        <f t="shared" si="4"/>
        <v>2025</v>
      </c>
      <c r="K85" s="8"/>
      <c r="L85" s="8"/>
      <c r="M85" s="8"/>
      <c r="N85" s="8"/>
      <c r="O85" s="8"/>
    </row>
    <row r="86" spans="1:19" x14ac:dyDescent="0.35">
      <c r="A86" s="74" t="s">
        <v>777</v>
      </c>
      <c r="B86" s="78">
        <f t="shared" ref="B86:I86" si="5">B87*cpi_2018to2012</f>
        <v>23379.888057824886</v>
      </c>
      <c r="C86" s="78">
        <f t="shared" si="5"/>
        <v>23379.888057824886</v>
      </c>
      <c r="D86" s="78">
        <f t="shared" si="5"/>
        <v>23379.888057824886</v>
      </c>
      <c r="E86" s="78">
        <f t="shared" si="5"/>
        <v>23379.888057824886</v>
      </c>
      <c r="F86" s="78">
        <f t="shared" si="5"/>
        <v>23379.888057824886</v>
      </c>
      <c r="G86" s="78">
        <f t="shared" si="5"/>
        <v>23518.877860586454</v>
      </c>
      <c r="H86" s="78">
        <f t="shared" si="5"/>
        <v>23670.478706238991</v>
      </c>
      <c r="I86" s="78">
        <f t="shared" si="5"/>
        <v>23764.588707276147</v>
      </c>
      <c r="N86" s="8"/>
      <c r="O86" s="8"/>
    </row>
    <row r="87" spans="1:19" x14ac:dyDescent="0.35">
      <c r="A87" s="74" t="s">
        <v>778</v>
      </c>
      <c r="B87" s="78">
        <f>$B$76*'LDV sales'!B89+'LDV psg EV specs'!$B$77*'LDV sales'!B90</f>
        <v>25579.746233944075</v>
      </c>
      <c r="C87" s="78">
        <f>$B$76*'LDV sales'!C89+'LDV psg EV specs'!$B$77*'LDV sales'!C90</f>
        <v>25579.746233944075</v>
      </c>
      <c r="D87" s="78">
        <f>$B$76*'LDV sales'!D89+'LDV psg EV specs'!$B$77*'LDV sales'!D90</f>
        <v>25579.746233944075</v>
      </c>
      <c r="E87" s="78">
        <f>$B$76*'LDV sales'!E89+'LDV psg EV specs'!$B$77*'LDV sales'!E90</f>
        <v>25579.746233944075</v>
      </c>
      <c r="F87" s="78">
        <f>$B$76*'LDV sales'!F89+'LDV psg EV specs'!$B$77*'LDV sales'!F90</f>
        <v>25579.746233944075</v>
      </c>
      <c r="G87" s="78">
        <f>$B$76*'LDV sales'!G89+'LDV psg EV specs'!$B$77*'LDV sales'!G90</f>
        <v>25731.813851845134</v>
      </c>
      <c r="H87" s="78">
        <f>$B$76*'LDV sales'!H89+'LDV psg EV specs'!$B$77*'LDV sales'!H90</f>
        <v>25897.679109670669</v>
      </c>
      <c r="I87" s="78">
        <f>$B$76*'LDV sales'!I89+'LDV psg EV specs'!$B$77*'LDV sales'!I90</f>
        <v>26000.644099864494</v>
      </c>
    </row>
    <row r="88" spans="1:19" x14ac:dyDescent="0.35">
      <c r="A88" s="1"/>
    </row>
    <row r="90" spans="1:19" x14ac:dyDescent="0.35">
      <c r="A90" s="105" t="s">
        <v>909</v>
      </c>
      <c r="B90" s="105"/>
      <c r="C90" s="105"/>
      <c r="D90" s="105"/>
      <c r="E90" s="105"/>
      <c r="F90" s="105"/>
      <c r="G90" s="105"/>
      <c r="H90" s="105"/>
      <c r="I90" s="105"/>
      <c r="J90" s="105"/>
      <c r="K90" s="105"/>
      <c r="L90" s="106"/>
      <c r="M90" s="106"/>
    </row>
    <row r="92" spans="1:19" x14ac:dyDescent="0.35">
      <c r="A92" s="1" t="s">
        <v>899</v>
      </c>
      <c r="B92" s="1" t="s">
        <v>900</v>
      </c>
      <c r="C92" s="1" t="s">
        <v>842</v>
      </c>
      <c r="D92" s="1" t="s">
        <v>5</v>
      </c>
    </row>
    <row r="93" spans="1:19" x14ac:dyDescent="0.35">
      <c r="A93" s="74" t="s">
        <v>898</v>
      </c>
      <c r="B93" s="104">
        <v>0.15</v>
      </c>
      <c r="C93" s="74" t="s">
        <v>841</v>
      </c>
      <c r="D93" s="74" t="s">
        <v>901</v>
      </c>
    </row>
    <row r="94" spans="1:19" x14ac:dyDescent="0.35">
      <c r="A94" s="74" t="s">
        <v>904</v>
      </c>
      <c r="B94" s="104">
        <v>0.05</v>
      </c>
      <c r="C94" s="74" t="s">
        <v>841</v>
      </c>
    </row>
    <row r="95" spans="1:19" x14ac:dyDescent="0.35">
      <c r="A95" s="74" t="s">
        <v>905</v>
      </c>
      <c r="B95" s="104">
        <v>0.1</v>
      </c>
      <c r="C95" s="74" t="s">
        <v>841</v>
      </c>
    </row>
    <row r="96" spans="1:19" x14ac:dyDescent="0.35">
      <c r="A96" s="74" t="s">
        <v>906</v>
      </c>
      <c r="B96" s="104">
        <v>0.15</v>
      </c>
      <c r="C96" s="74" t="s">
        <v>841</v>
      </c>
    </row>
    <row r="97" spans="1:5" x14ac:dyDescent="0.35">
      <c r="A97" s="74" t="s">
        <v>907</v>
      </c>
      <c r="B97" s="104">
        <v>0.25</v>
      </c>
      <c r="C97" s="130" t="s">
        <v>843</v>
      </c>
      <c r="D97" s="74" t="s">
        <v>902</v>
      </c>
    </row>
    <row r="98" spans="1:5" x14ac:dyDescent="0.35">
      <c r="B98" s="104"/>
      <c r="E98" s="13"/>
    </row>
    <row r="99" spans="1:5" x14ac:dyDescent="0.35">
      <c r="A99" s="1" t="s">
        <v>1214</v>
      </c>
      <c r="B99" s="104"/>
    </row>
    <row r="100" spans="1:5" x14ac:dyDescent="0.35">
      <c r="A100" s="74" t="s">
        <v>783</v>
      </c>
      <c r="B100" s="104">
        <f>'LDV psg gasoline'!B80*B97+'LDV psg gasoline'!B81*B96</f>
        <v>0.178576323937919</v>
      </c>
    </row>
    <row r="101" spans="1:5" x14ac:dyDescent="0.35">
      <c r="A101" s="74" t="s">
        <v>794</v>
      </c>
      <c r="B101" s="104">
        <f>B95</f>
        <v>0.1</v>
      </c>
    </row>
    <row r="103" spans="1:5" x14ac:dyDescent="0.35">
      <c r="A103" s="74" t="s">
        <v>908</v>
      </c>
    </row>
  </sheetData>
  <pageMargins left="0.7" right="0.7" top="0.75" bottom="0.75" header="0.3" footer="0.3"/>
  <pageSetup orientation="portrait" horizontalDpi="200" r:id="rId1"/>
  <ignoredErrors>
    <ignoredError sqref="D58" formula="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9C083C-14E6-41FF-A0A2-C76A59413B6D}">
  <sheetPr>
    <tabColor theme="7" tint="0.39997558519241921"/>
  </sheetPr>
  <dimension ref="A1:F62"/>
  <sheetViews>
    <sheetView workbookViewId="0">
      <selection activeCell="F16" sqref="F16"/>
    </sheetView>
  </sheetViews>
  <sheetFormatPr defaultRowHeight="14.5" x14ac:dyDescent="0.35"/>
  <cols>
    <col min="1" max="1" width="21.6328125" style="74" bestFit="1" customWidth="1"/>
    <col min="2" max="2" width="13" style="74" customWidth="1"/>
    <col min="3" max="3" width="16.7265625" style="74" customWidth="1"/>
    <col min="4" max="16384" width="8.7265625" style="74"/>
  </cols>
  <sheetData>
    <row r="1" spans="1:6" x14ac:dyDescent="0.35">
      <c r="B1" s="74" t="s">
        <v>953</v>
      </c>
      <c r="C1" s="74" t="s">
        <v>954</v>
      </c>
    </row>
    <row r="2" spans="1:6" x14ac:dyDescent="0.35">
      <c r="A2" s="74" t="s">
        <v>973</v>
      </c>
      <c r="B2" s="4">
        <f>AVERAGE(B14,C14,D14)</f>
        <v>56</v>
      </c>
      <c r="C2" s="4">
        <f>AVERAGE(B15,C15,D15)</f>
        <v>84</v>
      </c>
    </row>
    <row r="3" spans="1:6" x14ac:dyDescent="0.35">
      <c r="A3" s="74" t="s">
        <v>977</v>
      </c>
      <c r="B3" s="74">
        <f>B22</f>
        <v>56</v>
      </c>
      <c r="C3" s="74">
        <f>B23</f>
        <v>84</v>
      </c>
    </row>
    <row r="8" spans="1:6" x14ac:dyDescent="0.35">
      <c r="A8" s="1" t="s">
        <v>977</v>
      </c>
    </row>
    <row r="9" spans="1:6" x14ac:dyDescent="0.35">
      <c r="B9" s="1" t="s">
        <v>976</v>
      </c>
      <c r="C9" s="1" t="s">
        <v>975</v>
      </c>
      <c r="D9" s="1" t="s">
        <v>974</v>
      </c>
    </row>
    <row r="10" spans="1:6" x14ac:dyDescent="0.35">
      <c r="A10" s="74" t="s">
        <v>951</v>
      </c>
      <c r="B10" s="159">
        <f>B11*B12/100</f>
        <v>93.08</v>
      </c>
      <c r="C10" s="159">
        <f>C11*C12/100</f>
        <v>113.4</v>
      </c>
      <c r="D10" s="159">
        <f>D11*D12/100</f>
        <v>44.7</v>
      </c>
      <c r="F10" s="4"/>
    </row>
    <row r="11" spans="1:6" x14ac:dyDescent="0.35">
      <c r="A11" s="74" t="s">
        <v>840</v>
      </c>
      <c r="B11" s="74">
        <v>358</v>
      </c>
      <c r="C11" s="74">
        <v>405</v>
      </c>
      <c r="D11" s="74">
        <v>149</v>
      </c>
      <c r="F11" s="4"/>
    </row>
    <row r="12" spans="1:6" x14ac:dyDescent="0.35">
      <c r="A12" s="74" t="s">
        <v>949</v>
      </c>
      <c r="B12" s="74">
        <v>26</v>
      </c>
      <c r="C12" s="74">
        <v>28</v>
      </c>
      <c r="D12" s="74">
        <v>30</v>
      </c>
      <c r="F12" s="4"/>
    </row>
    <row r="14" spans="1:6" x14ac:dyDescent="0.35">
      <c r="A14" s="74" t="s">
        <v>953</v>
      </c>
      <c r="B14" s="74">
        <f>B12*2</f>
        <v>52</v>
      </c>
      <c r="C14" s="74">
        <f>C12*2</f>
        <v>56</v>
      </c>
      <c r="D14" s="74">
        <f>D12*2</f>
        <v>60</v>
      </c>
    </row>
    <row r="15" spans="1:6" x14ac:dyDescent="0.35">
      <c r="A15" s="74" t="s">
        <v>954</v>
      </c>
      <c r="B15" s="74">
        <f>B12*3</f>
        <v>78</v>
      </c>
      <c r="C15" s="74">
        <f>C12*3</f>
        <v>84</v>
      </c>
      <c r="D15" s="74">
        <f>D12*3</f>
        <v>90</v>
      </c>
    </row>
    <row r="17" spans="1:6" x14ac:dyDescent="0.35">
      <c r="A17" s="1" t="s">
        <v>973</v>
      </c>
      <c r="B17" s="74" t="s">
        <v>972</v>
      </c>
    </row>
    <row r="18" spans="1:6" x14ac:dyDescent="0.35">
      <c r="A18" s="74" t="s">
        <v>951</v>
      </c>
      <c r="B18" s="159">
        <f>B19*B20/100</f>
        <v>62.16</v>
      </c>
      <c r="C18" s="159"/>
      <c r="D18" s="159"/>
      <c r="F18" s="4"/>
    </row>
    <row r="19" spans="1:6" x14ac:dyDescent="0.35">
      <c r="A19" s="74" t="s">
        <v>840</v>
      </c>
      <c r="B19" s="74">
        <v>222</v>
      </c>
      <c r="F19" s="4"/>
    </row>
    <row r="20" spans="1:6" x14ac:dyDescent="0.35">
      <c r="A20" s="74" t="s">
        <v>949</v>
      </c>
      <c r="B20" s="74">
        <v>28</v>
      </c>
      <c r="F20" s="4"/>
    </row>
    <row r="22" spans="1:6" x14ac:dyDescent="0.35">
      <c r="A22" s="74" t="s">
        <v>953</v>
      </c>
      <c r="B22" s="74">
        <f>B20*2</f>
        <v>56</v>
      </c>
    </row>
    <row r="23" spans="1:6" x14ac:dyDescent="0.35">
      <c r="A23" s="74" t="s">
        <v>954</v>
      </c>
      <c r="B23" s="74">
        <f>B20*3</f>
        <v>84</v>
      </c>
    </row>
    <row r="25" spans="1:6" x14ac:dyDescent="0.35">
      <c r="A25" s="1"/>
    </row>
    <row r="26" spans="1:6" x14ac:dyDescent="0.35">
      <c r="B26" s="159"/>
      <c r="C26" s="159"/>
    </row>
    <row r="28" spans="1:6" x14ac:dyDescent="0.35">
      <c r="B28" s="4"/>
    </row>
    <row r="30" spans="1:6" x14ac:dyDescent="0.35">
      <c r="B30" s="4"/>
    </row>
    <row r="31" spans="1:6" x14ac:dyDescent="0.35">
      <c r="B31" s="4"/>
    </row>
    <row r="41" spans="1:1" x14ac:dyDescent="0.35">
      <c r="A41" s="1"/>
    </row>
    <row r="62" spans="2:2" x14ac:dyDescent="0.35">
      <c r="B62" s="159"/>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858221-CAC5-4E35-8A7C-4879DFAD2518}">
  <sheetPr>
    <tabColor theme="7" tint="0.39997558519241921"/>
  </sheetPr>
  <dimension ref="A1:D25"/>
  <sheetViews>
    <sheetView workbookViewId="0">
      <selection activeCell="F16" sqref="F16"/>
    </sheetView>
  </sheetViews>
  <sheetFormatPr defaultRowHeight="14.5" x14ac:dyDescent="0.35"/>
  <cols>
    <col min="1" max="1" width="21.6328125" style="74" bestFit="1" customWidth="1"/>
    <col min="2" max="2" width="13" style="74" customWidth="1"/>
    <col min="3" max="16384" width="8.7265625" style="74"/>
  </cols>
  <sheetData>
    <row r="1" spans="1:4" x14ac:dyDescent="0.35">
      <c r="B1" s="74" t="s">
        <v>788</v>
      </c>
    </row>
    <row r="2" spans="1:4" x14ac:dyDescent="0.35">
      <c r="A2" s="74" t="s">
        <v>953</v>
      </c>
      <c r="B2" s="4">
        <f>B9</f>
        <v>88.9375</v>
      </c>
    </row>
    <row r="3" spans="1:4" x14ac:dyDescent="0.35">
      <c r="A3" s="74" t="s">
        <v>954</v>
      </c>
      <c r="B3" s="4">
        <f>B10</f>
        <v>133.40625</v>
      </c>
    </row>
    <row r="6" spans="1:4" x14ac:dyDescent="0.35">
      <c r="B6" s="74" t="s">
        <v>771</v>
      </c>
      <c r="C6" s="74" t="s">
        <v>952</v>
      </c>
      <c r="D6" s="74" t="s">
        <v>967</v>
      </c>
    </row>
    <row r="7" spans="1:4" x14ac:dyDescent="0.35">
      <c r="A7" s="74" t="s">
        <v>968</v>
      </c>
      <c r="D7" s="74">
        <v>131</v>
      </c>
    </row>
    <row r="8" spans="1:4" x14ac:dyDescent="0.35">
      <c r="A8" s="74" t="s">
        <v>969</v>
      </c>
      <c r="D8" s="74">
        <v>320</v>
      </c>
    </row>
    <row r="9" spans="1:4" x14ac:dyDescent="0.35">
      <c r="A9" s="74" t="s">
        <v>971</v>
      </c>
      <c r="B9" s="74">
        <f>AVERAGE(C9,D9)</f>
        <v>88.9375</v>
      </c>
      <c r="C9" s="74">
        <f>B25*2</f>
        <v>96</v>
      </c>
      <c r="D9" s="74">
        <f>D7*200/320</f>
        <v>81.875</v>
      </c>
    </row>
    <row r="10" spans="1:4" x14ac:dyDescent="0.35">
      <c r="A10" s="74" t="s">
        <v>970</v>
      </c>
      <c r="B10" s="74">
        <f>AVERAGE(C10,D10)</f>
        <v>133.40625</v>
      </c>
      <c r="C10" s="74">
        <f>B25*3</f>
        <v>144</v>
      </c>
      <c r="D10" s="74">
        <f>D7*300/320</f>
        <v>122.8125</v>
      </c>
    </row>
    <row r="12" spans="1:4" x14ac:dyDescent="0.35">
      <c r="A12" s="74" t="s">
        <v>966</v>
      </c>
    </row>
    <row r="16" spans="1:4" x14ac:dyDescent="0.35">
      <c r="A16" s="74" t="s">
        <v>965</v>
      </c>
    </row>
    <row r="22" spans="1:2" x14ac:dyDescent="0.35">
      <c r="A22" s="74" t="s">
        <v>952</v>
      </c>
    </row>
    <row r="23" spans="1:2" x14ac:dyDescent="0.35">
      <c r="A23" s="74" t="s">
        <v>951</v>
      </c>
      <c r="B23" s="159">
        <f>B24*B25/100</f>
        <v>150.72</v>
      </c>
    </row>
    <row r="24" spans="1:2" x14ac:dyDescent="0.35">
      <c r="A24" s="74" t="s">
        <v>840</v>
      </c>
      <c r="B24" s="74">
        <v>314</v>
      </c>
    </row>
    <row r="25" spans="1:2" x14ac:dyDescent="0.35">
      <c r="A25" s="74" t="s">
        <v>949</v>
      </c>
      <c r="B25" s="74">
        <v>48</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49223D-64B3-48D7-9F7F-B112988D6DE9}">
  <sheetPr>
    <tabColor theme="7" tint="0.39997558519241921"/>
  </sheetPr>
  <dimension ref="A1:H69"/>
  <sheetViews>
    <sheetView topLeftCell="A7" zoomScale="85" zoomScaleNormal="85" workbookViewId="0">
      <selection activeCell="F16" sqref="F16"/>
    </sheetView>
  </sheetViews>
  <sheetFormatPr defaultRowHeight="14.5" x14ac:dyDescent="0.35"/>
  <cols>
    <col min="1" max="1" width="21.6328125" style="74" bestFit="1" customWidth="1"/>
    <col min="2" max="2" width="13" style="74" customWidth="1"/>
    <col min="3" max="3" width="8.7265625" style="74"/>
    <col min="4" max="4" width="16.453125" style="74" customWidth="1"/>
    <col min="5" max="5" width="12.90625" style="74" customWidth="1"/>
    <col min="6" max="16384" width="8.7265625" style="74"/>
  </cols>
  <sheetData>
    <row r="1" spans="1:8" x14ac:dyDescent="0.35">
      <c r="B1" s="74" t="s">
        <v>903</v>
      </c>
      <c r="D1" s="74" t="s">
        <v>1201</v>
      </c>
      <c r="E1" s="74" t="s">
        <v>978</v>
      </c>
      <c r="F1" s="74" t="str">
        <f t="shared" ref="F1:G1" si="0">B23</f>
        <v>Hyundai Kona E</v>
      </c>
      <c r="G1" s="74" t="str">
        <f t="shared" si="0"/>
        <v>Kia EV6</v>
      </c>
    </row>
    <row r="2" spans="1:8" x14ac:dyDescent="0.35">
      <c r="A2" s="74" t="s">
        <v>953</v>
      </c>
      <c r="B2" s="4">
        <f>AVERAGE(D2:G2)</f>
        <v>59</v>
      </c>
      <c r="C2" s="4"/>
      <c r="D2" s="74">
        <f t="shared" ref="D2:D3" si="1">B12</f>
        <v>66</v>
      </c>
      <c r="E2" s="74">
        <f t="shared" ref="E2:E3" si="2">B20</f>
        <v>56</v>
      </c>
      <c r="F2" s="4">
        <f t="shared" ref="F2:G3" si="3">B25</f>
        <v>56</v>
      </c>
      <c r="G2" s="4">
        <f t="shared" si="3"/>
        <v>58</v>
      </c>
      <c r="H2" s="4"/>
    </row>
    <row r="3" spans="1:8" x14ac:dyDescent="0.35">
      <c r="A3" s="74" t="s">
        <v>954</v>
      </c>
      <c r="B3" s="4">
        <f>AVERAGE(D3:G3)</f>
        <v>88.5</v>
      </c>
      <c r="C3" s="4"/>
      <c r="D3" s="74">
        <f t="shared" si="1"/>
        <v>99</v>
      </c>
      <c r="E3" s="74">
        <f t="shared" si="2"/>
        <v>84</v>
      </c>
      <c r="F3" s="4">
        <f t="shared" si="3"/>
        <v>84</v>
      </c>
      <c r="G3" s="4">
        <f t="shared" si="3"/>
        <v>87</v>
      </c>
      <c r="H3" s="4"/>
    </row>
    <row r="5" spans="1:8" x14ac:dyDescent="0.35">
      <c r="A5" s="72" t="s">
        <v>903</v>
      </c>
      <c r="B5" s="73"/>
      <c r="C5" s="73"/>
      <c r="D5" s="73"/>
      <c r="E5" s="73"/>
      <c r="F5" s="73"/>
      <c r="G5" s="73"/>
    </row>
    <row r="7" spans="1:8" x14ac:dyDescent="0.35">
      <c r="A7" s="1" t="s">
        <v>950</v>
      </c>
      <c r="B7" s="74" t="s">
        <v>957</v>
      </c>
      <c r="C7" s="74" t="s">
        <v>955</v>
      </c>
      <c r="D7" s="74" t="s">
        <v>956</v>
      </c>
      <c r="G7" s="74" t="s">
        <v>771</v>
      </c>
    </row>
    <row r="8" spans="1:8" x14ac:dyDescent="0.35">
      <c r="A8" s="74" t="s">
        <v>951</v>
      </c>
      <c r="B8" s="159">
        <f>B9*B10/100</f>
        <v>108</v>
      </c>
      <c r="C8" s="159">
        <f>C9*C10/100</f>
        <v>106.05</v>
      </c>
      <c r="D8" s="159">
        <f>D9*D10/100</f>
        <v>106.6</v>
      </c>
      <c r="E8" s="159">
        <f>E9*E10/100</f>
        <v>81.510000000000005</v>
      </c>
      <c r="G8" s="4">
        <f>AVERAGE(B8:E8)</f>
        <v>100.53999999999999</v>
      </c>
    </row>
    <row r="9" spans="1:8" x14ac:dyDescent="0.35">
      <c r="A9" s="74" t="s">
        <v>840</v>
      </c>
      <c r="B9" s="74">
        <v>270</v>
      </c>
      <c r="C9" s="74">
        <v>303</v>
      </c>
      <c r="D9" s="74">
        <v>260</v>
      </c>
      <c r="E9" s="74">
        <v>247</v>
      </c>
      <c r="G9" s="4">
        <f>AVERAGE(B9:E9)</f>
        <v>270</v>
      </c>
    </row>
    <row r="10" spans="1:8" x14ac:dyDescent="0.35">
      <c r="A10" s="74" t="s">
        <v>949</v>
      </c>
      <c r="B10" s="74">
        <v>40</v>
      </c>
      <c r="C10" s="74">
        <v>35</v>
      </c>
      <c r="D10" s="74">
        <v>41</v>
      </c>
      <c r="E10" s="74">
        <v>33</v>
      </c>
      <c r="G10" s="4">
        <f>AVERAGE(B10:E10)</f>
        <v>37.25</v>
      </c>
    </row>
    <row r="12" spans="1:8" x14ac:dyDescent="0.35">
      <c r="A12" s="74" t="s">
        <v>953</v>
      </c>
      <c r="B12" s="74">
        <f>E10*2</f>
        <v>66</v>
      </c>
      <c r="C12" s="74" t="s">
        <v>959</v>
      </c>
    </row>
    <row r="13" spans="1:8" x14ac:dyDescent="0.35">
      <c r="A13" s="74" t="s">
        <v>954</v>
      </c>
      <c r="B13" s="74">
        <f>E10*3</f>
        <v>99</v>
      </c>
      <c r="C13" s="74" t="s">
        <v>959</v>
      </c>
    </row>
    <row r="15" spans="1:8" x14ac:dyDescent="0.35">
      <c r="A15" s="1" t="s">
        <v>978</v>
      </c>
      <c r="B15" s="74" t="s">
        <v>961</v>
      </c>
    </row>
    <row r="16" spans="1:8" x14ac:dyDescent="0.35">
      <c r="A16" s="74" t="s">
        <v>951</v>
      </c>
      <c r="B16" s="159">
        <f>B17*B18/100</f>
        <v>92.4</v>
      </c>
      <c r="C16" s="159">
        <f>C17*C18/100</f>
        <v>78.12</v>
      </c>
      <c r="D16" s="159"/>
      <c r="F16" s="4"/>
    </row>
    <row r="17" spans="1:6" x14ac:dyDescent="0.35">
      <c r="A17" s="74" t="s">
        <v>840</v>
      </c>
      <c r="B17" s="74">
        <v>330</v>
      </c>
      <c r="C17" s="74">
        <v>279</v>
      </c>
      <c r="F17" s="4"/>
    </row>
    <row r="18" spans="1:6" x14ac:dyDescent="0.35">
      <c r="A18" s="74" t="s">
        <v>949</v>
      </c>
      <c r="B18" s="74">
        <v>28</v>
      </c>
      <c r="C18" s="74">
        <v>28</v>
      </c>
      <c r="F18" s="4"/>
    </row>
    <row r="20" spans="1:6" x14ac:dyDescent="0.35">
      <c r="A20" s="74" t="s">
        <v>953</v>
      </c>
      <c r="B20" s="74">
        <f>2*B18</f>
        <v>56</v>
      </c>
      <c r="C20" s="74" t="s">
        <v>959</v>
      </c>
    </row>
    <row r="21" spans="1:6" x14ac:dyDescent="0.35">
      <c r="A21" s="74" t="s">
        <v>954</v>
      </c>
      <c r="B21" s="74">
        <f>3*C18</f>
        <v>84</v>
      </c>
      <c r="C21" s="74" t="s">
        <v>959</v>
      </c>
    </row>
    <row r="23" spans="1:6" x14ac:dyDescent="0.35">
      <c r="A23" s="1" t="s">
        <v>1197</v>
      </c>
      <c r="B23" s="74" t="s">
        <v>1198</v>
      </c>
      <c r="C23" s="74" t="s">
        <v>1199</v>
      </c>
    </row>
    <row r="24" spans="1:6" x14ac:dyDescent="0.35">
      <c r="A24" s="74" t="s">
        <v>949</v>
      </c>
      <c r="B24" s="74">
        <v>28</v>
      </c>
      <c r="C24" s="74">
        <v>29</v>
      </c>
    </row>
    <row r="25" spans="1:6" x14ac:dyDescent="0.35">
      <c r="A25" s="74" t="s">
        <v>953</v>
      </c>
      <c r="B25" s="159">
        <f>2*B24</f>
        <v>56</v>
      </c>
      <c r="C25" s="159">
        <f t="shared" ref="C25" si="4">2*C24</f>
        <v>58</v>
      </c>
      <c r="D25" s="159"/>
      <c r="F25" s="4"/>
    </row>
    <row r="26" spans="1:6" x14ac:dyDescent="0.35">
      <c r="A26" s="74" t="s">
        <v>954</v>
      </c>
      <c r="B26" s="74">
        <f>3*B24</f>
        <v>84</v>
      </c>
      <c r="C26" s="74">
        <f t="shared" ref="C26" si="5">3*C24</f>
        <v>87</v>
      </c>
      <c r="F26" s="4"/>
    </row>
    <row r="27" spans="1:6" x14ac:dyDescent="0.35">
      <c r="F27" s="4"/>
    </row>
    <row r="32" spans="1:6" x14ac:dyDescent="0.35">
      <c r="A32" s="1"/>
    </row>
    <row r="33" spans="1:3" x14ac:dyDescent="0.35">
      <c r="B33" s="159"/>
      <c r="C33" s="159"/>
    </row>
    <row r="35" spans="1:3" x14ac:dyDescent="0.35">
      <c r="B35" s="4"/>
    </row>
    <row r="48" spans="1:3" x14ac:dyDescent="0.35">
      <c r="A48" s="1"/>
    </row>
    <row r="69" spans="2:2" x14ac:dyDescent="0.35">
      <c r="B69" s="159"/>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33</vt:i4>
      </vt:variant>
      <vt:variant>
        <vt:lpstr>Named Ranges</vt:lpstr>
      </vt:variant>
      <vt:variant>
        <vt:i4>5</vt:i4>
      </vt:variant>
    </vt:vector>
  </HeadingPairs>
  <TitlesOfParts>
    <vt:vector size="38" baseType="lpstr">
      <vt:lpstr>About</vt:lpstr>
      <vt:lpstr>LDV psg EVs</vt:lpstr>
      <vt:lpstr>LDV psg gasoline</vt:lpstr>
      <vt:lpstr>LDV sales</vt:lpstr>
      <vt:lpstr>LDV psg battery</vt:lpstr>
      <vt:lpstr>LDV psg EV specs</vt:lpstr>
      <vt:lpstr>Car</vt:lpstr>
      <vt:lpstr>Pickup</vt:lpstr>
      <vt:lpstr>Crossover</vt:lpstr>
      <vt:lpstr>SUV</vt:lpstr>
      <vt:lpstr>HDV frt</vt:lpstr>
      <vt:lpstr>LDV frt</vt:lpstr>
      <vt:lpstr>HDV psg</vt:lpstr>
      <vt:lpstr>Hydrogen</vt:lpstr>
      <vt:lpstr>CARB</vt:lpstr>
      <vt:lpstr>AEO 39</vt:lpstr>
      <vt:lpstr>AEO 42</vt:lpstr>
      <vt:lpstr>AEO 53</vt:lpstr>
      <vt:lpstr>Passenger Aircraft</vt:lpstr>
      <vt:lpstr>Ships</vt:lpstr>
      <vt:lpstr>Motorbikes</vt:lpstr>
      <vt:lpstr>BNVP-LDVs-psgr</vt:lpstr>
      <vt:lpstr>BNVP-LDVs-frgt</vt:lpstr>
      <vt:lpstr>BNVP-HDVs-frgt</vt:lpstr>
      <vt:lpstr>BNVP-HDVs-psgr</vt:lpstr>
      <vt:lpstr>BNVP-aircraft-psgr</vt:lpstr>
      <vt:lpstr>BNVP-aircraft-frgt</vt:lpstr>
      <vt:lpstr>BNVP-rail-psgr</vt:lpstr>
      <vt:lpstr>BNVP-rail-frgt</vt:lpstr>
      <vt:lpstr>BNVP-ships-psgr</vt:lpstr>
      <vt:lpstr>BNVP-ships-frgt</vt:lpstr>
      <vt:lpstr>BNVP-motorbikes-psgr</vt:lpstr>
      <vt:lpstr>BNVP-motorbikes-frgt</vt:lpstr>
      <vt:lpstr>cpi_2013to2012</vt:lpstr>
      <vt:lpstr>cpi_2014to2012</vt:lpstr>
      <vt:lpstr>cpi_2016to2012</vt:lpstr>
      <vt:lpstr>cpi_2017to2012</vt:lpstr>
      <vt:lpstr>cpi_2018to2012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Jeffrey Rissman</dc:creator>
  <cp:lastModifiedBy>Chris Busch</cp:lastModifiedBy>
  <dcterms:created xsi:type="dcterms:W3CDTF">2017-07-01T03:43:09Z</dcterms:created>
  <dcterms:modified xsi:type="dcterms:W3CDTF">2022-04-27T13:39:12Z</dcterms:modified>
</cp:coreProperties>
</file>